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8" tabRatio="828" activeTab="0"/>
  </bookViews>
  <sheets>
    <sheet name="Design Info" sheetId="1" r:id="rId1"/>
    <sheet name="Variables" sheetId="2" r:id="rId2"/>
    <sheet name="Agg. Info" sheetId="3" r:id="rId3"/>
    <sheet name="FDM &amp; Admix" sheetId="4" r:id="rId4"/>
    <sheet name="Mix Report (English)" sheetId="5" state="hidden" r:id="rId5"/>
    <sheet name="Mix Report (metric)" sheetId="6" state="hidden" r:id="rId6"/>
    <sheet name="Final Report (English)" sheetId="7" r:id="rId7"/>
    <sheet name="Final Report (metric)" sheetId="8" r:id="rId8"/>
    <sheet name="H2O Adj. (Optional)" sheetId="9" r:id="rId9"/>
    <sheet name="For IDOT" sheetId="10" r:id="rId10"/>
  </sheets>
  <definedNames>
    <definedName name="_Key1" hidden="1">#REF!</definedName>
    <definedName name="_Order1" hidden="1">255</definedName>
    <definedName name="_Sort" hidden="1">#REF!</definedName>
    <definedName name="_xlnm.Print_Area" localSheetId="2">'Agg. Info'!$A$1:$L$24</definedName>
    <definedName name="_xlnm.Print_Area" localSheetId="0">'Design Info'!$A$1:$K$23</definedName>
    <definedName name="_xlnm.Print_Area" localSheetId="3">'FDM &amp; Admix'!$A$1:$I$20</definedName>
    <definedName name="_xlnm.Print_Area" localSheetId="6">'Final Report (English)'!$B$1:$L$33</definedName>
    <definedName name="_xlnm.Print_Area" localSheetId="7">'Final Report (metric)'!$B$1:$L$33</definedName>
    <definedName name="_xlnm.Print_Area" localSheetId="8">'H2O Adj. (Optional)'!$B$1:$H$32</definedName>
    <definedName name="_xlnm.Print_Area" localSheetId="4">'Mix Report (English)'!$A$1:$O$37</definedName>
    <definedName name="_xlnm.Print_Area" localSheetId="5">'Mix Report (metric)'!$A$1:$O$37</definedName>
    <definedName name="_xlnm.Print_Area" localSheetId="1">'Variables'!$A$1:$F$18</definedName>
    <definedName name="report" localSheetId="5">'Mix Report (metric)'!$A$1:$N$38</definedName>
    <definedName name="report">'Mix Report (English)'!$A$1:$N$38</definedName>
    <definedName name="TABLE" localSheetId="4">'Mix Report (English)'!$P$12:$P$13</definedName>
    <definedName name="TABLE" localSheetId="5">'Mix Report (metric)'!$P$12:$P$13</definedName>
    <definedName name="Units">'Design Info'!$L$2</definedName>
    <definedName name="Unitstoggle" localSheetId="5">'Mix Report (metric)'!$Q$3</definedName>
    <definedName name="Unitstoggle">'Mix Report (English)'!$Q$3</definedName>
    <definedName name="water" localSheetId="5">'Mix Report (metric)'!$Q$29</definedName>
    <definedName name="water">'Mix Report (English)'!$Q$29</definedName>
  </definedNames>
  <calcPr fullCalcOnLoad="1"/>
</workbook>
</file>

<file path=xl/comments1.xml><?xml version="1.0" encoding="utf-8"?>
<comments xmlns="http://schemas.openxmlformats.org/spreadsheetml/2006/main">
  <authors>
    <author>krstulovichjm</author>
    <author>James Krstulovich</author>
    <author>Krstulovich, James M</author>
  </authors>
  <commentList>
    <comment ref="C3" authorId="0">
      <text>
        <r>
          <rPr>
            <sz val="8"/>
            <rFont val="Tahoma"/>
            <family val="2"/>
          </rPr>
          <t>Contractor/Producer designated mix design number.
This is NOT the IDOT mix design number (below), 
which will be assigned by the District upon approval 
of the mix design.</t>
        </r>
      </text>
    </comment>
    <comment ref="C4" authorId="1">
      <text>
        <r>
          <rPr>
            <sz val="8"/>
            <rFont val="Tahoma"/>
            <family val="2"/>
          </rPr>
          <t>IDOT will assign a mix design number upon approval of the mix design.</t>
        </r>
      </text>
    </comment>
    <comment ref="C17" authorId="0">
      <text>
        <r>
          <rPr>
            <sz val="8"/>
            <rFont val="Tahoma"/>
            <family val="2"/>
          </rPr>
          <t>Please use ###-###-####</t>
        </r>
      </text>
    </comment>
    <comment ref="C14" authorId="2">
      <text>
        <r>
          <rPr>
            <sz val="9"/>
            <rFont val="Tahoma"/>
            <family val="2"/>
          </rPr>
          <t>The company name of the Contractor, Producer, or Consultant designing the mix.</t>
        </r>
      </text>
    </comment>
    <comment ref="C16" authorId="2">
      <text>
        <r>
          <rPr>
            <sz val="9"/>
            <rFont val="Tahoma"/>
            <family val="2"/>
          </rPr>
          <t>The name of the individual responsible for designing the mix.</t>
        </r>
      </text>
    </comment>
  </commentList>
</comments>
</file>

<file path=xl/comments2.xml><?xml version="1.0" encoding="utf-8"?>
<comments xmlns="http://schemas.openxmlformats.org/spreadsheetml/2006/main">
  <authors>
    <author>krstulovichjm</author>
  </authors>
  <commentList>
    <comment ref="B4" authorId="0">
      <text>
        <r>
          <rPr>
            <sz val="8"/>
            <rFont val="Tahoma"/>
            <family val="2"/>
          </rPr>
          <t>Refer to Section 2.2.1 --"Cement Factor for Class or Type of Concrete"</t>
        </r>
      </text>
    </comment>
    <comment ref="B5" authorId="0">
      <text>
        <r>
          <rPr>
            <sz val="8"/>
            <rFont val="Tahoma"/>
            <family val="2"/>
          </rPr>
          <t>Refer to Section 2.8.2.1 -- "Design Mortar Factor"</t>
        </r>
      </text>
    </comment>
    <comment ref="B6" authorId="0">
      <text>
        <r>
          <rPr>
            <sz val="8"/>
            <rFont val="Tahoma"/>
            <family val="2"/>
          </rPr>
          <t>Refer to Section 2.7.1 -- "Air Content"
Or
Refer to Section 2.7.2 -- "Minimum Air Content"</t>
        </r>
      </text>
    </comment>
    <comment ref="B11" authorId="0">
      <text>
        <r>
          <rPr>
            <sz val="8"/>
            <rFont val="Tahoma"/>
            <family val="2"/>
          </rPr>
          <t>Refer to Section 2.5.1.1 --
"Fine Aggregate Water Requirement"
For "w/c Ratio Method" mix designs, 
refer to Section 2.6.1 -- "Water/Cement Ratio"</t>
        </r>
      </text>
    </comment>
    <comment ref="B12" authorId="0">
      <text>
        <r>
          <rPr>
            <sz val="8"/>
            <rFont val="Tahoma"/>
            <family val="2"/>
          </rPr>
          <t>Refer to Section 2.5.1.2 -- 
"Coarse Aggregate Water Requirement"</t>
        </r>
      </text>
    </comment>
    <comment ref="B13" authorId="0">
      <text>
        <r>
          <rPr>
            <sz val="8"/>
            <rFont val="Tahoma"/>
            <family val="2"/>
          </rPr>
          <t>Note that this is a “water reduction”; thus, enter a positive value for a reduction, or a negative for an addition.
Also note, that for "w/c Ratio Method" mix designs, a water adjustment will be back-calculated based on the 
FA Type and CA Water Requirement inputs, and will reported on the various design reports.</t>
        </r>
      </text>
    </comment>
  </commentList>
</comments>
</file>

<file path=xl/comments3.xml><?xml version="1.0" encoding="utf-8"?>
<comments xmlns="http://schemas.openxmlformats.org/spreadsheetml/2006/main">
  <authors>
    <author>krstulovichjm</author>
  </authors>
  <commentList>
    <comment ref="B5" authorId="0">
      <text>
        <r>
          <rPr>
            <sz val="8"/>
            <rFont val="Tahoma"/>
            <family val="2"/>
          </rPr>
          <t>If Metric: 0##AAM##, 0##AAM##1 if superstructure, or 0##AAM##2 if handrail
If English: 0##AA##, 0##AA##01 if superstructure, or 0##AA##02 if handrail</t>
        </r>
      </text>
    </comment>
  </commentList>
</comments>
</file>

<file path=xl/comments4.xml><?xml version="1.0" encoding="utf-8"?>
<comments xmlns="http://schemas.openxmlformats.org/spreadsheetml/2006/main">
  <authors>
    <author>krstulovichjm</author>
  </authors>
  <commentList>
    <comment ref="H4" authorId="0">
      <text>
        <r>
          <rPr>
            <sz val="8"/>
            <rFont val="Tahoma"/>
            <family val="2"/>
          </rPr>
          <t>Refer to Section 2.4.1 -- 
"Cement Replacement with Finely 
Divided Minerals"</t>
        </r>
      </text>
    </comment>
    <comment ref="C11" authorId="0">
      <text>
        <r>
          <rPr>
            <sz val="8"/>
            <rFont val="Tahoma"/>
            <family val="2"/>
          </rPr>
          <t>Refer to Section 2.5.3 -- "Required Use of Admixtures"
And
Refer to Section 2.5.4 -- "Optional Use of Admixtures"</t>
        </r>
      </text>
    </comment>
    <comment ref="C10" authorId="0">
      <text>
        <r>
          <rPr>
            <sz val="8"/>
            <rFont val="Tahoma"/>
            <family val="2"/>
          </rPr>
          <t>Refer to Level II Section 6.4 -- "Admixtures" and
the Approved List of Concrete Admixtures</t>
        </r>
      </text>
    </comment>
    <comment ref="E2" authorId="0">
      <text>
        <r>
          <rPr>
            <sz val="8"/>
            <rFont val="Tahoma"/>
            <family val="2"/>
          </rPr>
          <t>Refer to Level II Section 6.2 -- "Cement"
And
Refer to Level II Section 6.3 -- "Finely Divided Minerals"</t>
        </r>
      </text>
    </comment>
    <comment ref="I4" authorId="0">
      <text>
        <r>
          <rPr>
            <sz val="9"/>
            <rFont val="Tahoma"/>
            <family val="2"/>
          </rPr>
          <t>Optional. Default replacement ratio is 1.00, if left blank.</t>
        </r>
      </text>
    </comment>
  </commentList>
</comments>
</file>

<file path=xl/sharedStrings.xml><?xml version="1.0" encoding="utf-8"?>
<sst xmlns="http://schemas.openxmlformats.org/spreadsheetml/2006/main" count="800" uniqueCount="565">
  <si>
    <t>% CA Blend:</t>
  </si>
  <si>
    <t>% FA Blend:</t>
  </si>
  <si>
    <t>Producer</t>
  </si>
  <si>
    <t>Number</t>
  </si>
  <si>
    <t>Name</t>
  </si>
  <si>
    <t>Type</t>
  </si>
  <si>
    <t>Matl</t>
  </si>
  <si>
    <t>Well-graded</t>
  </si>
  <si>
    <t>Gap-graded</t>
  </si>
  <si>
    <t>1 to 3% air content</t>
  </si>
  <si>
    <t>Other factors:</t>
  </si>
  <si>
    <t>Combined aggregate grading:</t>
  </si>
  <si>
    <t>(0 to +10%)</t>
  </si>
  <si>
    <t>(-10 to -5%)</t>
  </si>
  <si>
    <t>Mid-range water-reducing admixture</t>
  </si>
  <si>
    <t>Normal water-reducing admixture</t>
  </si>
  <si>
    <t>(-15 to -8%)</t>
  </si>
  <si>
    <t>Air</t>
  </si>
  <si>
    <t>Water</t>
  </si>
  <si>
    <t>Material</t>
  </si>
  <si>
    <t>Class</t>
  </si>
  <si>
    <t>Admixtures</t>
  </si>
  <si>
    <t>"A" Completely rounded particles</t>
  </si>
  <si>
    <t>"B" Combination of rounded and angular particles</t>
  </si>
  <si>
    <t>"C" Completely angular particles</t>
  </si>
  <si>
    <t>PCC MIX DESIGN</t>
  </si>
  <si>
    <t>Air entraining admixture</t>
  </si>
  <si>
    <t>37801M Fly Ash Class C</t>
  </si>
  <si>
    <t>37802M Fly Ash Class F</t>
  </si>
  <si>
    <t>37821M GGBFS, Grade 100</t>
  </si>
  <si>
    <t>37822M GGBFS, Grade 120</t>
  </si>
  <si>
    <t>37852M Microsilica</t>
  </si>
  <si>
    <t>MATERIAL:</t>
  </si>
  <si>
    <t>CLASS:</t>
  </si>
  <si>
    <t>REVIEWED BY:</t>
  </si>
  <si>
    <t>Admixture(s):</t>
  </si>
  <si>
    <t>{FA + CA} MIX-H2O:</t>
  </si>
  <si>
    <t>Range</t>
  </si>
  <si>
    <t>Percentage</t>
  </si>
  <si>
    <t>BMPR</t>
  </si>
  <si>
    <t>Responsible Location:</t>
  </si>
  <si>
    <t>Specific</t>
  </si>
  <si>
    <t>Gravity</t>
  </si>
  <si>
    <t>Total</t>
  </si>
  <si>
    <t>88 - Chicago</t>
  </si>
  <si>
    <t>91 - District 1</t>
  </si>
  <si>
    <t>92 - District 2</t>
  </si>
  <si>
    <t>93 - District 3</t>
  </si>
  <si>
    <t>94 - District 4</t>
  </si>
  <si>
    <t>95 - District 5</t>
  </si>
  <si>
    <t>96 - District 6</t>
  </si>
  <si>
    <t>97 - District 7</t>
  </si>
  <si>
    <t>98 - District 8</t>
  </si>
  <si>
    <t>99 - District 9</t>
  </si>
  <si>
    <t>Remarks</t>
  </si>
  <si>
    <t>Adx(s):</t>
  </si>
  <si>
    <t>CONCRETE PC LATEX</t>
  </si>
  <si>
    <t>CONCRETE PC</t>
  </si>
  <si>
    <t>Material Code:</t>
  </si>
  <si>
    <t>Code</t>
  </si>
  <si>
    <t>W/C RATIO:</t>
  </si>
  <si>
    <t>Units</t>
  </si>
  <si>
    <t>VOL(CU M)</t>
  </si>
  <si>
    <t>{TYPE}</t>
  </si>
  <si>
    <t>{ABS. VOL}</t>
  </si>
  <si>
    <t>PRODUCER:</t>
  </si>
  <si>
    <t>Mix Producer</t>
  </si>
  <si>
    <t>No.</t>
  </si>
  <si>
    <t>Name:</t>
  </si>
  <si>
    <t>PROD NAME:</t>
  </si>
  <si>
    <t>Microsilica</t>
  </si>
  <si>
    <t>Finely Divided Minerals:</t>
  </si>
  <si>
    <t>Water Adjustment</t>
  </si>
  <si>
    <t>(-10 to 0%)</t>
  </si>
  <si>
    <t>(-30 to -12%)</t>
  </si>
  <si>
    <t>(0 to +15%)</t>
  </si>
  <si>
    <t>MAT CODE</t>
  </si>
  <si>
    <t>n/a</t>
  </si>
  <si>
    <t>English to Metric</t>
  </si>
  <si>
    <t>Metric to English</t>
  </si>
  <si>
    <t>FA H2O Requirements</t>
  </si>
  <si>
    <t>CA H2O Requirements</t>
  </si>
  <si>
    <t>Water Calc</t>
  </si>
  <si>
    <t>Other</t>
  </si>
  <si>
    <t>Interpolated Unit Weight of Water</t>
  </si>
  <si>
    <t>Metric</t>
  </si>
  <si>
    <t>English</t>
  </si>
  <si>
    <t>Temp</t>
  </si>
  <si>
    <t>60-65</t>
  </si>
  <si>
    <t>65-70</t>
  </si>
  <si>
    <t>70-73.4</t>
  </si>
  <si>
    <t>73.4-75</t>
  </si>
  <si>
    <t>75-80</t>
  </si>
  <si>
    <t>80-85</t>
  </si>
  <si>
    <t>15.6-18.3</t>
  </si>
  <si>
    <t>18.3-21.1</t>
  </si>
  <si>
    <t>21.1-23.0</t>
  </si>
  <si>
    <t>23.0-23.9</t>
  </si>
  <si>
    <t>23.9-26.7</t>
  </si>
  <si>
    <t>26.7-29.4</t>
  </si>
  <si>
    <t>Unit Weight of Water</t>
  </si>
  <si>
    <t>lbs./cu. yd</t>
  </si>
  <si>
    <t>2.</t>
  </si>
  <si>
    <t>3.</t>
  </si>
  <si>
    <t>4.</t>
  </si>
  <si>
    <t>5.</t>
  </si>
  <si>
    <t>Design Variables</t>
  </si>
  <si>
    <t xml:space="preserve"> </t>
  </si>
  <si>
    <t>CA,B</t>
  </si>
  <si>
    <t>RESP:</t>
  </si>
  <si>
    <t>BATCH</t>
  </si>
  <si>
    <t>H2O%</t>
  </si>
  <si>
    <t>FINE</t>
  </si>
  <si>
    <t>%</t>
  </si>
  <si>
    <t>MORTAR</t>
  </si>
  <si>
    <t>ADX</t>
  </si>
  <si>
    <t>RED</t>
  </si>
  <si>
    <t>MOD</t>
  </si>
  <si>
    <t>AIR</t>
  </si>
  <si>
    <t>VOIDS</t>
  </si>
  <si>
    <t>FACTOR</t>
  </si>
  <si>
    <t>ASH</t>
  </si>
  <si>
    <t>FA</t>
  </si>
  <si>
    <t>CA</t>
  </si>
  <si>
    <t>NON FA</t>
  </si>
  <si>
    <t>DISTRICT</t>
  </si>
  <si>
    <t>CEMENT</t>
  </si>
  <si>
    <t>MATERIAL</t>
  </si>
  <si>
    <t>PROD NO</t>
  </si>
  <si>
    <t>PROD NAME</t>
  </si>
  <si>
    <t>SP G</t>
  </si>
  <si>
    <t>SSD</t>
  </si>
  <si>
    <t>CODE</t>
  </si>
  <si>
    <t>DESCRIPTION</t>
  </si>
  <si>
    <t>CHICAGO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</si>
  <si>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</si>
  <si>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</si>
  <si>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</si>
  <si>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</si>
  <si>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</si>
  <si>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</si>
  <si>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</si>
  <si>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</si>
  <si>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</si>
  <si>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 xml:space="preserve"> REMARKS:</t>
  </si>
  <si>
    <t>EFFECTIVE:</t>
  </si>
  <si>
    <t>(Z)</t>
  </si>
  <si>
    <t>ADJ</t>
  </si>
  <si>
    <t>TOTAL CEMENTITIOUS MATL:</t>
  </si>
  <si>
    <t>Admixture Type</t>
  </si>
  <si>
    <t>(ASTM C 494)</t>
  </si>
  <si>
    <t>ADDITIONAL INFORMATION:</t>
  </si>
  <si>
    <t>Lab:</t>
  </si>
  <si>
    <t>Phone:</t>
  </si>
  <si>
    <t>email:</t>
  </si>
  <si>
    <t>Batch Size</t>
  </si>
  <si>
    <t>FA Type</t>
  </si>
  <si>
    <t>Finely Divided Minerals</t>
  </si>
  <si>
    <t>Units Toggle</t>
  </si>
  <si>
    <t>Concrete Code</t>
  </si>
  <si>
    <t>F - Superplasticizer</t>
  </si>
  <si>
    <t>37701M Type IS Blast Furnace Slag</t>
  </si>
  <si>
    <t>37703M Type IP Pozzolan</t>
  </si>
  <si>
    <t>37706M Type I (SM) Slag Modified</t>
  </si>
  <si>
    <t>37601M Type I, Portland</t>
  </si>
  <si>
    <t>37603M Type II, Portland</t>
  </si>
  <si>
    <t>37605M Type III, Portland</t>
  </si>
  <si>
    <t>37607M Type IV, Portland</t>
  </si>
  <si>
    <t>37608M Type V, Portland</t>
  </si>
  <si>
    <t>37803M High React. Metakaolin</t>
  </si>
  <si>
    <t>(-5%)</t>
  </si>
  <si>
    <t>(-10%)</t>
  </si>
  <si>
    <t>D - Water Reducer/Retarder</t>
  </si>
  <si>
    <t>E - Water Reducer/Accelerator</t>
  </si>
  <si>
    <t>G - Superplasticizer/Retarder</t>
  </si>
  <si>
    <t>REPL</t>
  </si>
  <si>
    <t>%MOIST /</t>
  </si>
  <si>
    <t>Location:</t>
  </si>
  <si>
    <t>FA,A</t>
  </si>
  <si>
    <t>VOL(CU YD)</t>
  </si>
  <si>
    <t>Calculations</t>
  </si>
  <si>
    <t>Material Code</t>
  </si>
  <si>
    <t>Responsible Location</t>
  </si>
  <si>
    <t>Aggregate Information</t>
  </si>
  <si>
    <t>AEA - Air Entraining</t>
  </si>
  <si>
    <t>A - Water Reducer</t>
  </si>
  <si>
    <t>B - Retarder</t>
  </si>
  <si>
    <t>C - Accelerator</t>
  </si>
  <si>
    <t>Target Air Content</t>
  </si>
  <si>
    <t>SSD Sp.</t>
  </si>
  <si>
    <t>% BLEND</t>
  </si>
  <si>
    <t>Date Created</t>
  </si>
  <si>
    <t>Designer:</t>
  </si>
  <si>
    <t>Voids</t>
  </si>
  <si>
    <t>Day</t>
  </si>
  <si>
    <t>Month</t>
  </si>
  <si>
    <t>day</t>
  </si>
  <si>
    <t>Year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</si>
  <si>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</si>
  <si>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</si>
  <si>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</si>
  <si>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</si>
  <si>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</si>
  <si>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</si>
  <si>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</si>
  <si>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</si>
  <si>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</si>
  <si>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</si>
  <si>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</si>
  <si>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</si>
  <si>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</si>
  <si>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</si>
  <si>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</si>
  <si>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</si>
  <si>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</si>
  <si>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</si>
  <si>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</si>
  <si>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</si>
  <si>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</si>
  <si>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</si>
  <si>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</si>
  <si>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</si>
  <si>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</si>
  <si>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</si>
  <si>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</si>
  <si>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</si>
  <si>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</si>
  <si>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</si>
  <si>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</si>
  <si>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Created:</t>
  </si>
  <si>
    <t>mo</t>
  </si>
  <si>
    <t>year</t>
  </si>
  <si>
    <t>Mortar Factor</t>
  </si>
  <si>
    <t>High-Reactivity Metakaolin (HRM)</t>
  </si>
  <si>
    <t>Printed</t>
  </si>
  <si>
    <t>Latex</t>
  </si>
  <si>
    <t>(0%)</t>
  </si>
  <si>
    <t>4 to 5% air content</t>
  </si>
  <si>
    <t>6 to 10% air content</t>
  </si>
  <si>
    <t>(-5 to +5%)</t>
  </si>
  <si>
    <t>PCC DESIGN MIX</t>
  </si>
  <si>
    <t>RED MIX H2O:</t>
  </si>
  <si>
    <t>REMARKS:</t>
  </si>
  <si>
    <t>6.</t>
  </si>
  <si>
    <t>Select Cement…</t>
  </si>
  <si>
    <t>Select Fly Ash…</t>
  </si>
  <si>
    <t>Select Slag…</t>
  </si>
  <si>
    <t>Select Other FDM…</t>
  </si>
  <si>
    <t>Step 1.</t>
  </si>
  <si>
    <t>Cement Factor</t>
  </si>
  <si>
    <t>IDOT Design No.</t>
  </si>
  <si>
    <t>CONC PC GGBF META</t>
  </si>
  <si>
    <t>CONC PBFSC FLYASH</t>
  </si>
  <si>
    <t>CONC PC PERV</t>
  </si>
  <si>
    <t>CONC PC FLYASH PERV</t>
  </si>
  <si>
    <t>CONC PC GGBF PERV</t>
  </si>
  <si>
    <t>Percent</t>
  </si>
  <si>
    <t>Blend</t>
  </si>
  <si>
    <t>Designer</t>
  </si>
  <si>
    <t>Designer Phone:</t>
  </si>
  <si>
    <t>Designer email:</t>
  </si>
  <si>
    <t>21621 - GROUT CLSM</t>
  </si>
  <si>
    <t>21621M - GROUT CLSM</t>
  </si>
  <si>
    <t>CONCRETE PC FLYASH</t>
  </si>
  <si>
    <t>CONC PC MICROSILICA</t>
  </si>
  <si>
    <t>CONCRETE PC GGBF</t>
  </si>
  <si>
    <t>CONC PC METAKAOLIN</t>
  </si>
  <si>
    <t>CONC PC FASH META</t>
  </si>
  <si>
    <t>GROUT REVETMENT</t>
  </si>
  <si>
    <t>GROUT CLSM</t>
  </si>
  <si>
    <t>CONC PC FASH MSIL</t>
  </si>
  <si>
    <t>CONC PC GGBF MSIL</t>
  </si>
  <si>
    <t>CONC PC FA GGBF MSIL</t>
  </si>
  <si>
    <t>GROUT INSERT LINE</t>
  </si>
  <si>
    <t>CAM 2 ECONOCRETE</t>
  </si>
  <si>
    <t>CAM 2 FLYASH</t>
  </si>
  <si>
    <t>PATCH MIX R-H CEMENT</t>
  </si>
  <si>
    <t>PATCH MIX CA ALUM</t>
  </si>
  <si>
    <t>DOT.PCCMIX@Illinois.gov</t>
  </si>
  <si>
    <t>For help, comments, and/or suggestions,</t>
  </si>
  <si>
    <t>please contact:</t>
  </si>
  <si>
    <r>
      <t>IMPORTANT:</t>
    </r>
    <r>
      <rPr>
        <sz val="10"/>
        <color indexed="43"/>
        <rFont val="Arial"/>
        <family val="2"/>
      </rPr>
      <t xml:space="preserve">  All worksheets are password protected.</t>
    </r>
  </si>
  <si>
    <r>
      <rPr>
        <sz val="10"/>
        <color indexed="43"/>
        <rFont val="Arial"/>
        <family val="2"/>
      </rPr>
      <t xml:space="preserve">Cells highlighted </t>
    </r>
    <r>
      <rPr>
        <b/>
        <sz val="10"/>
        <color indexed="44"/>
        <rFont val="Arial"/>
        <family val="2"/>
      </rPr>
      <t>BLUE</t>
    </r>
    <r>
      <rPr>
        <b/>
        <sz val="10"/>
        <color indexed="43"/>
        <rFont val="Arial"/>
        <family val="2"/>
      </rPr>
      <t xml:space="preserve"> </t>
    </r>
    <r>
      <rPr>
        <sz val="10"/>
        <color indexed="43"/>
        <rFont val="Arial"/>
        <family val="2"/>
      </rPr>
      <t>or</t>
    </r>
    <r>
      <rPr>
        <b/>
        <sz val="10"/>
        <color indexed="43"/>
        <rFont val="Arial"/>
        <family val="2"/>
      </rPr>
      <t xml:space="preserve"> </t>
    </r>
    <r>
      <rPr>
        <b/>
        <sz val="10"/>
        <color indexed="42"/>
        <rFont val="Arial"/>
        <family val="2"/>
      </rPr>
      <t>GREEN</t>
    </r>
    <r>
      <rPr>
        <b/>
        <sz val="10"/>
        <color indexed="43"/>
        <rFont val="Arial"/>
        <family val="2"/>
      </rPr>
      <t xml:space="preserve"> </t>
    </r>
    <r>
      <rPr>
        <sz val="10"/>
        <color indexed="43"/>
        <rFont val="Arial"/>
        <family val="2"/>
      </rPr>
      <t>can accept data input.</t>
    </r>
  </si>
  <si>
    <r>
      <rPr>
        <b/>
        <sz val="10"/>
        <color indexed="44"/>
        <rFont val="Arial"/>
        <family val="2"/>
      </rPr>
      <t>BLUE</t>
    </r>
    <r>
      <rPr>
        <b/>
        <sz val="10"/>
        <color indexed="43"/>
        <rFont val="Arial"/>
        <family val="2"/>
      </rPr>
      <t xml:space="preserve"> </t>
    </r>
    <r>
      <rPr>
        <sz val="10"/>
        <color indexed="43"/>
        <rFont val="Arial"/>
        <family val="2"/>
      </rPr>
      <t>cells are mandatory;</t>
    </r>
    <r>
      <rPr>
        <b/>
        <sz val="10"/>
        <color indexed="43"/>
        <rFont val="Arial"/>
        <family val="2"/>
      </rPr>
      <t xml:space="preserve"> </t>
    </r>
    <r>
      <rPr>
        <b/>
        <sz val="10"/>
        <color indexed="42"/>
        <rFont val="Arial"/>
        <family val="2"/>
      </rPr>
      <t>GREEN</t>
    </r>
    <r>
      <rPr>
        <b/>
        <sz val="10"/>
        <color indexed="43"/>
        <rFont val="Arial"/>
        <family val="2"/>
      </rPr>
      <t xml:space="preserve"> </t>
    </r>
    <r>
      <rPr>
        <sz val="10"/>
        <color indexed="43"/>
        <rFont val="Arial"/>
        <family val="2"/>
      </rPr>
      <t>cells are optional.</t>
    </r>
  </si>
  <si>
    <t>Suggested</t>
  </si>
  <si>
    <t>Minimum air content specified:</t>
  </si>
  <si>
    <t>Coarse cement, water/cement ratio &gt; 0.45, and</t>
  </si>
  <si>
    <t>Fine cement, water/cement ratio &lt; 0.40, and</t>
  </si>
  <si>
    <t>Cumulative Adjustment (%)</t>
  </si>
  <si>
    <t>S - Specific Performance Admixtures</t>
  </si>
  <si>
    <t>21620M - GROUT Revetment Mat</t>
  </si>
  <si>
    <t>21620 - GROUT Revetment Mat</t>
  </si>
  <si>
    <t>21633 - GROUT Insertion Lining</t>
  </si>
  <si>
    <t>21801 - CAM 2 Econocrete</t>
  </si>
  <si>
    <t>21803 - CAM 2 Fly Ash</t>
  </si>
  <si>
    <t>21633M - GROUT Insertion Lining</t>
  </si>
  <si>
    <t>21801M - CAM 2 Econocrete</t>
  </si>
  <si>
    <t>21803M - CAM 2 Fly Ash</t>
  </si>
  <si>
    <t>Select Units of Measure:</t>
  </si>
  <si>
    <t>START.</t>
  </si>
  <si>
    <r>
      <t xml:space="preserve">Class </t>
    </r>
    <r>
      <rPr>
        <sz val="9"/>
        <rFont val="Arial"/>
        <family val="2"/>
      </rPr>
      <t>(select up to 5)</t>
    </r>
  </si>
  <si>
    <t>21601M - PCC Cement Only</t>
  </si>
  <si>
    <t>21605M - PCC Cement &amp; Fly Ash</t>
  </si>
  <si>
    <t>21606M - PCC Cement &amp; Latex</t>
  </si>
  <si>
    <t>21609M - PCC Cement &amp; Microsilica</t>
  </si>
  <si>
    <t>21611M - PCC Cement &amp; GGBF Slag</t>
  </si>
  <si>
    <t>21613M - PCC Cement &amp; Metakaolin</t>
  </si>
  <si>
    <t>21614M - PCC Cement &amp; Fly Ash &amp; Metakaolin</t>
  </si>
  <si>
    <t>21622M - PCC Cement &amp; Fly Ash &amp; Microsilica</t>
  </si>
  <si>
    <t>21627M - PCC Cement &amp; GGBF Slag &amp; Microsilica</t>
  </si>
  <si>
    <t>21628M - PCC Cement &amp; Fly Ash &amp; GGBF Slag &amp; Microsilica</t>
  </si>
  <si>
    <t>21629M - PCC Cement &amp; GGBF Slag &amp; Metakaolin</t>
  </si>
  <si>
    <t>21634M - PERVIOUS PCC Cement Only</t>
  </si>
  <si>
    <t>21635M - PERVIOUS PCC Cement &amp; Fly Ash</t>
  </si>
  <si>
    <t>21636M - PERVIOUS PCC Cement &amp; GGBF Slag</t>
  </si>
  <si>
    <t>22106M - PATCH Rapid-Hardening Cement</t>
  </si>
  <si>
    <t>22107M - PATCH Calcium Aluminate Cement</t>
  </si>
  <si>
    <t>21601 - PCC Cement Only</t>
  </si>
  <si>
    <t>21605 - PCC Cement &amp; Fly Ash</t>
  </si>
  <si>
    <t>21606 - PCC Cement &amp; Latex</t>
  </si>
  <si>
    <t>21609 - PCC Cement &amp; Microsilica</t>
  </si>
  <si>
    <t>21611 - PCC Cement &amp; GGBF Slag</t>
  </si>
  <si>
    <t>21613 - PCC Cement &amp; Metakaolin</t>
  </si>
  <si>
    <t>21614 - PCC Cement &amp; Fly Ash &amp; Metakaolin</t>
  </si>
  <si>
    <t>21622 - PCC Cement &amp; Fly Ash &amp; Microsilica</t>
  </si>
  <si>
    <t>21627 - PCC Cement &amp; GGBF Slag &amp; Microsilica</t>
  </si>
  <si>
    <t>21628 - PCC Cement &amp; Fly Ash &amp; GGBF Slag &amp; Microsilica</t>
  </si>
  <si>
    <t>21629 - PCC Cement &amp; GGBF Slag &amp; Metakaolin</t>
  </si>
  <si>
    <t>21634 - PERVIOUS PCC Cement Only</t>
  </si>
  <si>
    <t>21635 - PERVIOUS PCC Cement &amp; Fly Ash</t>
  </si>
  <si>
    <t>21636 - PERVIOUS PCC Cement &amp; GGBF Slag</t>
  </si>
  <si>
    <t>22106 - PATCH Rapid-Hardening Cement</t>
  </si>
  <si>
    <t>22107 - PATCH Calcium Aluminate Cement</t>
  </si>
  <si>
    <t>21632 - PCC Portland Blast Furnace Slag Cement &amp; Fly Ash</t>
  </si>
  <si>
    <t>21632M - PCC Portland Blast Furnace Slag Cement &amp; Fly Ash</t>
  </si>
  <si>
    <t>Ground Granulated Blast Furnace (GGBF) Slag</t>
  </si>
  <si>
    <t>(e.g. dosage rate)</t>
  </si>
  <si>
    <t>Cement and Finely Divided Minerals Information</t>
  </si>
  <si>
    <t>concrete temperature &lt; 60 °F (27 °C)</t>
  </si>
  <si>
    <t>concrete temperature &gt; 80 °F (27 °C)</t>
  </si>
  <si>
    <t>Adjustment</t>
  </si>
  <si>
    <t>Admixture Information</t>
  </si>
  <si>
    <t>Replacement</t>
  </si>
  <si>
    <t>Ratio</t>
  </si>
  <si>
    <r>
      <t xml:space="preserve">There are many factors that can be taken into account when determining a mix's water requirement. The table below allows you to estimate the percentage of water adjustment (typically a reduction) based on the mix's constituent materials. </t>
    </r>
    <r>
      <rPr>
        <b/>
        <sz val="9"/>
        <rFont val="Arial"/>
        <family val="2"/>
      </rPr>
      <t>IMPORTANT:</t>
    </r>
    <r>
      <rPr>
        <sz val="9"/>
        <rFont val="Arial"/>
        <family val="2"/>
      </rPr>
      <t xml:space="preserve"> This table is for informational purposes only. The water adjustment calculated here is not referenced by any mix design calculations. </t>
    </r>
    <r>
      <rPr>
        <b/>
        <sz val="9"/>
        <color indexed="10"/>
        <rFont val="Arial"/>
        <family val="2"/>
      </rPr>
      <t xml:space="preserve">To use the water adjustment calculated here, it must be entered on the </t>
    </r>
    <r>
      <rPr>
        <b/>
        <sz val="9"/>
        <rFont val="Arial"/>
        <family val="2"/>
      </rPr>
      <t>Design Variables</t>
    </r>
    <r>
      <rPr>
        <b/>
        <sz val="9"/>
        <color indexed="10"/>
        <rFont val="Arial"/>
        <family val="2"/>
      </rPr>
      <t xml:space="preserve"> tab.</t>
    </r>
  </si>
  <si>
    <t>FDM</t>
  </si>
  <si>
    <t>AGG MAT CODES</t>
  </si>
  <si>
    <t>FT</t>
  </si>
  <si>
    <t>SuperStruct</t>
  </si>
  <si>
    <t>MISTIC</t>
  </si>
  <si>
    <t>IDOT MIX #:</t>
  </si>
  <si>
    <t>CONTR MIX #:</t>
  </si>
  <si>
    <t>lbs</t>
  </si>
  <si>
    <t>Specific Gravity</t>
  </si>
  <si>
    <t>% Solids</t>
  </si>
  <si>
    <t>Latex Admixture Information</t>
  </si>
  <si>
    <t>General Remarks</t>
  </si>
  <si>
    <t>LATEX</t>
  </si>
  <si>
    <t>Vol H2O</t>
  </si>
  <si>
    <t>Vol Solids</t>
  </si>
  <si>
    <t>ABS. VOL</t>
  </si>
  <si>
    <t>THEO. H2O</t>
  </si>
  <si>
    <t>Batch Dosage</t>
  </si>
  <si>
    <t>James Krstulovich, P.E.</t>
  </si>
  <si>
    <t>37708M Type IL Limestone</t>
  </si>
  <si>
    <t>37707M Type I (PM) Pozzolan Modified</t>
  </si>
  <si>
    <t>21637M - PCC Cement &amp; Type K</t>
  </si>
  <si>
    <t>21638M - PCC Cement &amp; Fly Ash &amp; Type K</t>
  </si>
  <si>
    <t>21637 - PCC Cement &amp; Type K</t>
  </si>
  <si>
    <t>21638 - PCC Cement &amp; Fly Ash &amp; Type K</t>
  </si>
  <si>
    <t>21641M - ROLLER COMPACTED Cement &amp; Fly Ash</t>
  </si>
  <si>
    <t>21642M - ROLLER COMPACTED Cement &amp; GGBF Slag</t>
  </si>
  <si>
    <t>21642 - ROLLER COMPACTED Cement &amp; GGBF Slag</t>
  </si>
  <si>
    <t>21641 - ROLLER COMPACTED Cement &amp; Fly Ash</t>
  </si>
  <si>
    <t>21640 - ROLLER COMPACTED Cement Only</t>
  </si>
  <si>
    <t>21640M - ROLLER COMPACTED Cement Only</t>
  </si>
  <si>
    <t>CONC PC RCC</t>
  </si>
  <si>
    <t>CONC PC FLYASH RCC</t>
  </si>
  <si>
    <t>CONC PC GGBF RCC</t>
  </si>
  <si>
    <t>CONC PC TYPE K</t>
  </si>
  <si>
    <t>CONC PC FA TYPE K</t>
  </si>
  <si>
    <t>Bureau of Materials</t>
  </si>
  <si>
    <t>50 - Bureau of Materials</t>
  </si>
  <si>
    <t>37810M Type K Expansive Component</t>
  </si>
  <si>
    <t>21643 - PCC Cement &amp; GGBF Slag &amp; Fly Ash</t>
  </si>
  <si>
    <t>21643M - PCC Cement &amp; GGBF Slag &amp; Fly Ash</t>
  </si>
  <si>
    <t>CONC PC GGBF FLYASH</t>
  </si>
  <si>
    <t>High range water-reducing admixture (Note 1)</t>
  </si>
  <si>
    <t>Fly Ash (Note 2)</t>
  </si>
  <si>
    <t>Reference: Appendix Q, Table 1.2 "Adjustment to Basic Water Requirement"</t>
  </si>
  <si>
    <r>
      <t>Note 1:</t>
    </r>
    <r>
      <rPr>
        <sz val="8"/>
        <rFont val="Arial"/>
        <family val="2"/>
      </rPr>
      <t xml:space="preserve">  A polycarboxylate superplasticizer may reduce the water content up to 40%.</t>
    </r>
  </si>
  <si>
    <r>
      <t>Note 2:</t>
    </r>
    <r>
      <rPr>
        <sz val="8"/>
        <rFont val="Arial"/>
        <family val="2"/>
      </rPr>
      <t xml:space="preserve">  For each 10% of fly ash, it is recommended to allow a water reduction of at least 3%.</t>
    </r>
  </si>
  <si>
    <t>in the PCC Level III Technicican Course Manual.</t>
  </si>
  <si>
    <t>37901M Rapid Hardening Cement</t>
  </si>
  <si>
    <t>37902M Calcium Aluminate Cement</t>
  </si>
  <si>
    <t>Coarse Aggregate Voids</t>
  </si>
  <si>
    <t>Enter voids, V =</t>
  </si>
  <si>
    <t>--</t>
  </si>
  <si>
    <t>Header</t>
  </si>
  <si>
    <t>Mix Design Type</t>
  </si>
  <si>
    <t>IDOT Mix Number</t>
  </si>
  <si>
    <t>Producer Mix Number</t>
  </si>
  <si>
    <t>Effective Date</t>
  </si>
  <si>
    <t>Expiration Date</t>
  </si>
  <si>
    <t>Approved By</t>
  </si>
  <si>
    <t>Approval Date</t>
  </si>
  <si>
    <t>Attributes</t>
  </si>
  <si>
    <t>Class_1</t>
  </si>
  <si>
    <t>Class_2</t>
  </si>
  <si>
    <t>Class_3</t>
  </si>
  <si>
    <t>Class_4</t>
  </si>
  <si>
    <t>Class_5</t>
  </si>
  <si>
    <t>Responsible District</t>
  </si>
  <si>
    <t>Reviewed By</t>
  </si>
  <si>
    <t>Producer Number</t>
  </si>
  <si>
    <t>Producer Name</t>
  </si>
  <si>
    <t>CA Voids</t>
  </si>
  <si>
    <t>Percent Air</t>
  </si>
  <si>
    <t>W/C Ratio</t>
  </si>
  <si>
    <t>Variables</t>
  </si>
  <si>
    <t>Aggregate_1</t>
  </si>
  <si>
    <t>Producer Number_Agg_1</t>
  </si>
  <si>
    <t>Producer Name_Agg_1</t>
  </si>
  <si>
    <t>Specific Gravity_Agg_1</t>
  </si>
  <si>
    <t>Percent Blend_Agg_1</t>
  </si>
  <si>
    <t>Weight_Agg_SSD_1</t>
  </si>
  <si>
    <t>Aggregate_2</t>
  </si>
  <si>
    <t>Producer Number_Agg_2</t>
  </si>
  <si>
    <t>Producer Name_Agg_2</t>
  </si>
  <si>
    <t>Specific Gravity_Agg_2</t>
  </si>
  <si>
    <t>Percent Blend_Agg_2</t>
  </si>
  <si>
    <t>Weight_Agg_SSD_2</t>
  </si>
  <si>
    <t>Aggregate_3</t>
  </si>
  <si>
    <t>Producer Number_Agg_3</t>
  </si>
  <si>
    <t>Producer Name_Agg_3</t>
  </si>
  <si>
    <t>Specific Gravity_Agg_3</t>
  </si>
  <si>
    <t>Percent Blend_Agg_3</t>
  </si>
  <si>
    <t>Weight_Agg_SSD_3</t>
  </si>
  <si>
    <t>Aggregate_4</t>
  </si>
  <si>
    <t>Producer Number_Agg_4</t>
  </si>
  <si>
    <t>Producer Name_Agg_4</t>
  </si>
  <si>
    <t>Specific Gravity_Agg_4</t>
  </si>
  <si>
    <t>Percent Blend_Agg_4</t>
  </si>
  <si>
    <t>Weight_Agg_SSD_4</t>
  </si>
  <si>
    <t>Aggregate_5</t>
  </si>
  <si>
    <t>Producer Number_Agg_5</t>
  </si>
  <si>
    <t>Producer Name_Agg_5</t>
  </si>
  <si>
    <t>Specific Gravity_Agg_5</t>
  </si>
  <si>
    <t>Percent Blend_Agg_5</t>
  </si>
  <si>
    <t>Weight_Agg_SSD_5</t>
  </si>
  <si>
    <t>Aggregate_6</t>
  </si>
  <si>
    <t>Producer Number_Agg_6</t>
  </si>
  <si>
    <t>Producer Name_Agg_6</t>
  </si>
  <si>
    <t>Specific Gravity_Agg_6</t>
  </si>
  <si>
    <t>Percent Blend_Agg_6</t>
  </si>
  <si>
    <t>Weight_Agg_SSD_6</t>
  </si>
  <si>
    <t>Cementitious_1</t>
  </si>
  <si>
    <t>Producer Number_Cmtt_1</t>
  </si>
  <si>
    <t>Producer Name_Cmtt_1</t>
  </si>
  <si>
    <t>Specific Gravity_Cmtt_1</t>
  </si>
  <si>
    <t>Percent Blend_Cmtt_1</t>
  </si>
  <si>
    <t>Weight_Cmtt_1</t>
  </si>
  <si>
    <t>Cementitious_2</t>
  </si>
  <si>
    <t>Producer Number_Cmtt_2</t>
  </si>
  <si>
    <t>Producer Name_Cmtt_2</t>
  </si>
  <si>
    <t>Specific Gravity_Cmtt_2</t>
  </si>
  <si>
    <t>Percent Blend_Cmtt_2</t>
  </si>
  <si>
    <t>Weight_Cmtt_2</t>
  </si>
  <si>
    <t>Cementitious_3</t>
  </si>
  <si>
    <t>Producer Number_Cmtt_3</t>
  </si>
  <si>
    <t>Producer Name_Cmtt_3</t>
  </si>
  <si>
    <t>Specific Gravity_Cmtt_3</t>
  </si>
  <si>
    <t>Percent Blend_Cmtt_3</t>
  </si>
  <si>
    <t>Weight_Cmtt_3</t>
  </si>
  <si>
    <t>Cementitious_4</t>
  </si>
  <si>
    <t>Producer Number_Cmtt_4</t>
  </si>
  <si>
    <t>Producer Name_Cmtt_4</t>
  </si>
  <si>
    <t>Specific Gravity_Cmtt_4</t>
  </si>
  <si>
    <t>Percent Blend_Cmtt_4</t>
  </si>
  <si>
    <t>Weight_Cmtt_4</t>
  </si>
  <si>
    <t>Theoretical Water_lbs</t>
  </si>
  <si>
    <t>Total Batch Weight</t>
  </si>
  <si>
    <t>Theoretical Water_gal</t>
  </si>
  <si>
    <t>Remarks_1</t>
  </si>
  <si>
    <t>Remarks_2</t>
  </si>
  <si>
    <t>Designer_Phone</t>
  </si>
  <si>
    <t>Designer_Email</t>
  </si>
  <si>
    <t>PCC</t>
  </si>
  <si>
    <t>Class(es)</t>
  </si>
  <si>
    <t>PRODUCER MIX #:</t>
  </si>
  <si>
    <t>MATERIAL CODE:</t>
  </si>
  <si>
    <t>CLASS(ES):</t>
  </si>
  <si>
    <t>MORTAR FACTOR:</t>
  </si>
  <si>
    <t>CA VOIDS:</t>
  </si>
  <si>
    <t>% AIR:</t>
  </si>
  <si>
    <t>PRODUCER NO.:</t>
  </si>
  <si>
    <t>PRODUCER NAME:</t>
  </si>
  <si>
    <t>AGGREGATE</t>
  </si>
  <si>
    <t>CEMENTITIOUS</t>
  </si>
  <si>
    <t>DESIGNER:</t>
  </si>
  <si>
    <t>PHONE:</t>
  </si>
  <si>
    <t>EMAIL:</t>
  </si>
  <si>
    <r>
      <t>CEMENT FACTOR, cwt/yd</t>
    </r>
    <r>
      <rPr>
        <vertAlign val="superscript"/>
        <sz val="10"/>
        <rFont val="Courier New"/>
        <family val="3"/>
      </rPr>
      <t>3</t>
    </r>
    <r>
      <rPr>
        <sz val="10"/>
        <rFont val="Courier New"/>
        <family val="3"/>
      </rPr>
      <t>:</t>
    </r>
  </si>
  <si>
    <t>RESP. DISTRICT:</t>
  </si>
  <si>
    <t>Sp. G.</t>
  </si>
  <si>
    <t>Producer No.</t>
  </si>
  <si>
    <t>% Blend</t>
  </si>
  <si>
    <t>lbs / cu yd</t>
  </si>
  <si>
    <t>Weight (SSD)</t>
  </si>
  <si>
    <t>THEO. WATER (lbs/cu yd)</t>
  </si>
  <si>
    <t>TOTAL BATCH WT (lbs/cu yd)</t>
  </si>
  <si>
    <t>THEO. WATER (gal/cu yd)</t>
  </si>
  <si>
    <t>Company Name:</t>
  </si>
  <si>
    <t>Product Name</t>
  </si>
  <si>
    <t>John Smith</t>
  </si>
  <si>
    <t>555-555-5555</t>
  </si>
  <si>
    <t>john.smith@email.com</t>
  </si>
  <si>
    <t>027fa01</t>
  </si>
  <si>
    <t>54321-01</t>
  </si>
  <si>
    <t>43215-01</t>
  </si>
  <si>
    <t>555-01</t>
  </si>
  <si>
    <t>Ash Marketers, Inc.</t>
  </si>
  <si>
    <t>Big Cement, Co.</t>
  </si>
  <si>
    <t>[TBD by IDOT]</t>
  </si>
  <si>
    <r>
      <t>CEMENT FACTOR, kg/m</t>
    </r>
    <r>
      <rPr>
        <vertAlign val="superscript"/>
        <sz val="10"/>
        <rFont val="Courier New"/>
        <family val="3"/>
      </rPr>
      <t>3</t>
    </r>
    <r>
      <rPr>
        <sz val="10"/>
        <rFont val="Courier New"/>
        <family val="3"/>
      </rPr>
      <t>:</t>
    </r>
  </si>
  <si>
    <t>kg / cu m</t>
  </si>
  <si>
    <t>THEO. WATER (kg/cu m)</t>
  </si>
  <si>
    <t>TOTAL BATCH WT (kg/cu m)</t>
  </si>
  <si>
    <t>THEO. WATER (L/cu m)</t>
  </si>
  <si>
    <t>Phone: (217) 524-7269</t>
  </si>
  <si>
    <t>ADMIXTURES:</t>
  </si>
  <si>
    <t>Admix_Code_1</t>
  </si>
  <si>
    <t>Admix_Type_1</t>
  </si>
  <si>
    <t>Admix_Name_1</t>
  </si>
  <si>
    <t>Admix_Remarks_1</t>
  </si>
  <si>
    <t>Admix_Code_2</t>
  </si>
  <si>
    <t>Admix_Type_2</t>
  </si>
  <si>
    <t>Admix_Name_2</t>
  </si>
  <si>
    <t>Admix_Remarks_2</t>
  </si>
  <si>
    <t>Admix_Code_3</t>
  </si>
  <si>
    <t>Admix_Type_3</t>
  </si>
  <si>
    <t>Admix_Name_3</t>
  </si>
  <si>
    <t>Admix_Remarks_3</t>
  </si>
  <si>
    <t>Admix_Code_4</t>
  </si>
  <si>
    <t>Admix_Type_4</t>
  </si>
  <si>
    <t>Admix_Name_4</t>
  </si>
  <si>
    <t>Admix_Remarks_4</t>
  </si>
  <si>
    <t>Producer Mix Design No.</t>
  </si>
  <si>
    <t>Version X1.0</t>
  </si>
  <si>
    <t>pmc0001pv</t>
  </si>
  <si>
    <t>Pave Masters Co.</t>
  </si>
  <si>
    <t>Chicago</t>
  </si>
  <si>
    <t>1234-05</t>
  </si>
  <si>
    <t>Everyman Redi-Mix Co.</t>
  </si>
  <si>
    <t>022ca07</t>
  </si>
  <si>
    <t>12345-05</t>
  </si>
  <si>
    <t>big rock co.</t>
  </si>
  <si>
    <t>little rocks co.</t>
  </si>
  <si>
    <t>Air Plus X</t>
  </si>
  <si>
    <t>Water Reducto 2000</t>
  </si>
  <si>
    <t>ASR Mix Option 2, 25% fly ash</t>
  </si>
  <si>
    <t>Select the area you want to see.</t>
  </si>
  <si>
    <t>Go to "View" in the toolbar above.</t>
  </si>
  <si>
    <t>Click on "Zoom to Selection."</t>
  </si>
  <si>
    <t>To fit spreadsheets to your screen: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</si>
</sst>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_)"/>
    <numFmt numFmtId="166" formatCode="0.0000_)"/>
    <numFmt numFmtId="167" formatCode="0.0_)"/>
    <numFmt numFmtId="168" formatCode="0.00_)"/>
    <numFmt numFmtId="169" formatCode="0.000_)"/>
    <numFmt numFmtId="170" formatCode="0.000"/>
    <numFmt numFmtId="171" formatCode="0.0"/>
    <numFmt numFmtId="172" formatCode="0.0000"/>
    <numFmt numFmtId="173" formatCode="0.000000000000000"/>
    <numFmt numFmtId="174" formatCode="0.00000"/>
    <numFmt numFmtId="175" formatCode="mm/dd/yy"/>
    <numFmt numFmtId="176" formatCode="0.000000"/>
    <numFmt numFmtId="177" formatCode="[$-409]dddd\,\ mmmm\ dd\,\ yyyy"/>
    <numFmt numFmtId="178" formatCode="mm/dd/yy;@"/>
    <numFmt numFmtId="179" formatCode="mmddyy"/>
    <numFmt numFmtId="180" formatCode="_(* #,##0.000_);_(* \(#,##0.000\);_(* &quot;-&quot;??_);_(@_)"/>
    <numFmt numFmtId="181" formatCode="_(* #,##0.0000_);_(* \(#,##0.00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h:mm:ss\ AM/PM"/>
    <numFmt numFmtId="187" formatCode="m/d/yy;@"/>
    <numFmt numFmtId="188" formatCode="dd\ mmm\ yyyy"/>
    <numFmt numFmtId="189" formatCode="0.0000000"/>
    <numFmt numFmtId="190" formatCode="[$-409]dddd\,\ mmmm\ d\,\ yyyy"/>
    <numFmt numFmtId="191" formatCode="m/d/yyyy;@"/>
  </numFmts>
  <fonts count="82">
    <font>
      <sz val="12"/>
      <name val="Courier New"/>
      <family val="0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1.5"/>
      <name val="Arial"/>
      <family val="2"/>
    </font>
    <font>
      <b/>
      <sz val="10"/>
      <color indexed="10"/>
      <name val="Arial"/>
      <family val="2"/>
    </font>
    <font>
      <u val="single"/>
      <sz val="13.45"/>
      <color indexed="12"/>
      <name val="Courier New"/>
      <family val="3"/>
    </font>
    <font>
      <u val="single"/>
      <sz val="13.45"/>
      <color indexed="36"/>
      <name val="Courier New"/>
      <family val="3"/>
    </font>
    <font>
      <sz val="11"/>
      <color indexed="8"/>
      <name val="Arial"/>
      <family val="2"/>
    </font>
    <font>
      <sz val="12"/>
      <color indexed="9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i/>
      <sz val="10"/>
      <name val="Arial"/>
      <family val="2"/>
    </font>
    <font>
      <b/>
      <sz val="10"/>
      <color indexed="43"/>
      <name val="Arial"/>
      <family val="2"/>
    </font>
    <font>
      <sz val="10"/>
      <color indexed="43"/>
      <name val="Arial"/>
      <family val="2"/>
    </font>
    <font>
      <sz val="10"/>
      <name val="Courier New"/>
      <family val="3"/>
    </font>
    <font>
      <b/>
      <sz val="11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44"/>
      <name val="Arial"/>
      <family val="2"/>
    </font>
    <font>
      <b/>
      <sz val="10"/>
      <color indexed="42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sz val="11"/>
      <name val="Calibri"/>
      <family val="2"/>
    </font>
    <font>
      <vertAlign val="superscript"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ourier New"/>
      <family val="3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2"/>
      <color rgb="FF000000"/>
      <name val="Courier New"/>
      <family val="3"/>
    </font>
    <font>
      <b/>
      <sz val="8"/>
      <name val="Courier New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622">
    <xf numFmtId="0" fontId="0" fillId="0" borderId="0" xfId="0" applyAlignment="1">
      <alignment/>
    </xf>
    <xf numFmtId="0" fontId="1" fillId="0" borderId="0" xfId="0" applyFont="1" applyAlignment="1">
      <alignment/>
    </xf>
    <xf numFmtId="1" fontId="10" fillId="33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15" xfId="0" applyFont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left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16" xfId="0" applyFont="1" applyBorder="1" applyAlignment="1" applyProtection="1">
      <alignment/>
      <protection/>
    </xf>
    <xf numFmtId="0" fontId="5" fillId="0" borderId="16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5" fillId="34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 horizontal="center"/>
      <protection/>
    </xf>
    <xf numFmtId="0" fontId="5" fillId="35" borderId="0" xfId="0" applyFont="1" applyFill="1" applyAlignment="1" applyProtection="1">
      <alignment/>
      <protection/>
    </xf>
    <xf numFmtId="0" fontId="5" fillId="36" borderId="20" xfId="0" applyFont="1" applyFill="1" applyBorder="1" applyAlignment="1" applyProtection="1">
      <alignment horizontal="center"/>
      <protection/>
    </xf>
    <xf numFmtId="0" fontId="5" fillId="36" borderId="0" xfId="0" applyFont="1" applyFill="1" applyAlignment="1" applyProtection="1">
      <alignment horizontal="center"/>
      <protection/>
    </xf>
    <xf numFmtId="0" fontId="5" fillId="36" borderId="0" xfId="0" applyFont="1" applyFill="1" applyAlignment="1" applyProtection="1">
      <alignment/>
      <protection/>
    </xf>
    <xf numFmtId="0" fontId="5" fillId="37" borderId="0" xfId="0" applyFont="1" applyFill="1" applyAlignment="1" applyProtection="1">
      <alignment/>
      <protection/>
    </xf>
    <xf numFmtId="0" fontId="5" fillId="38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/>
      <protection/>
    </xf>
    <xf numFmtId="0" fontId="5" fillId="35" borderId="22" xfId="0" applyFont="1" applyFill="1" applyBorder="1" applyAlignment="1" applyProtection="1">
      <alignment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5" fillId="36" borderId="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0" borderId="21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16" fillId="0" borderId="0" xfId="0" applyFont="1" applyBorder="1" applyAlignment="1" applyProtection="1">
      <alignment horizontal="left"/>
      <protection/>
    </xf>
    <xf numFmtId="0" fontId="5" fillId="39" borderId="0" xfId="0" applyFont="1" applyFill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indent="4"/>
    </xf>
    <xf numFmtId="0" fontId="5" fillId="0" borderId="0" xfId="0" applyFont="1" applyAlignment="1">
      <alignment horizontal="left" indent="4"/>
    </xf>
    <xf numFmtId="0" fontId="3" fillId="0" borderId="0" xfId="0" applyFont="1" applyAlignment="1" applyProtection="1">
      <alignment/>
      <protection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40" borderId="24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171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0" fontId="20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 quotePrefix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 quotePrefix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 quotePrefix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right"/>
      <protection/>
    </xf>
    <xf numFmtId="0" fontId="5" fillId="0" borderId="28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 quotePrefix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167" fontId="15" fillId="0" borderId="0" xfId="0" applyNumberFormat="1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 vertical="top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3" fillId="0" borderId="30" xfId="0" applyNumberFormat="1" applyFont="1" applyFill="1" applyBorder="1" applyAlignment="1" applyProtection="1">
      <alignment horizontal="left" vertical="center"/>
      <protection/>
    </xf>
    <xf numFmtId="0" fontId="3" fillId="0" borderId="32" xfId="0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right"/>
      <protection/>
    </xf>
    <xf numFmtId="0" fontId="7" fillId="0" borderId="33" xfId="0" applyFont="1" applyFill="1" applyBorder="1" applyAlignment="1" applyProtection="1">
      <alignment/>
      <protection/>
    </xf>
    <xf numFmtId="0" fontId="8" fillId="0" borderId="33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 horizontal="center"/>
      <protection/>
    </xf>
    <xf numFmtId="171" fontId="3" fillId="0" borderId="19" xfId="0" applyNumberFormat="1" applyFont="1" applyFill="1" applyBorder="1" applyAlignment="1" applyProtection="1">
      <alignment horizontal="center" vertical="center"/>
      <protection/>
    </xf>
    <xf numFmtId="168" fontId="3" fillId="0" borderId="19" xfId="0" applyNumberFormat="1" applyFont="1" applyFill="1" applyBorder="1" applyAlignment="1" applyProtection="1">
      <alignment horizontal="center" vertical="center"/>
      <protection/>
    </xf>
    <xf numFmtId="167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168" fontId="1" fillId="0" borderId="0" xfId="0" applyNumberFormat="1" applyFont="1" applyFill="1" applyAlignment="1" applyProtection="1">
      <alignment horizontal="center" vertical="center"/>
      <protection/>
    </xf>
    <xf numFmtId="168" fontId="3" fillId="0" borderId="0" xfId="0" applyNumberFormat="1" applyFont="1" applyFill="1" applyAlignment="1" applyProtection="1">
      <alignment horizontal="center" vertical="center"/>
      <protection/>
    </xf>
    <xf numFmtId="166" fontId="1" fillId="0" borderId="0" xfId="0" applyNumberFormat="1" applyFont="1" applyFill="1" applyAlignment="1" applyProtection="1">
      <alignment horizontal="center" vertical="center"/>
      <protection/>
    </xf>
    <xf numFmtId="168" fontId="5" fillId="0" borderId="0" xfId="0" applyNumberFormat="1" applyFont="1" applyFill="1" applyAlignment="1" applyProtection="1">
      <alignment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 quotePrefix="1">
      <alignment horizontal="right"/>
      <protection/>
    </xf>
    <xf numFmtId="0" fontId="5" fillId="0" borderId="30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168" fontId="3" fillId="0" borderId="30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3" fillId="0" borderId="33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167" fontId="5" fillId="0" borderId="0" xfId="0" applyNumberFormat="1" applyFont="1" applyFill="1" applyBorder="1" applyAlignment="1" applyProtection="1">
      <alignment horizontal="center"/>
      <protection/>
    </xf>
    <xf numFmtId="167" fontId="7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/>
    </xf>
    <xf numFmtId="0" fontId="5" fillId="0" borderId="3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74" fontId="5" fillId="0" borderId="0" xfId="0" applyNumberFormat="1" applyFont="1" applyFill="1" applyAlignment="1" applyProtection="1">
      <alignment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/>
      <protection/>
    </xf>
    <xf numFmtId="174" fontId="5" fillId="0" borderId="0" xfId="0" applyNumberFormat="1" applyFont="1" applyFill="1" applyBorder="1" applyAlignment="1" applyProtection="1">
      <alignment/>
      <protection/>
    </xf>
    <xf numFmtId="2" fontId="5" fillId="0" borderId="38" xfId="0" applyNumberFormat="1" applyFont="1" applyFill="1" applyBorder="1" applyAlignment="1" applyProtection="1">
      <alignment horizontal="center"/>
      <protection/>
    </xf>
    <xf numFmtId="164" fontId="11" fillId="0" borderId="39" xfId="0" applyNumberFormat="1" applyFont="1" applyFill="1" applyBorder="1" applyAlignment="1" applyProtection="1">
      <alignment horizontal="center" vertical="center"/>
      <protection/>
    </xf>
    <xf numFmtId="164" fontId="1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1" fontId="5" fillId="0" borderId="19" xfId="0" applyNumberFormat="1" applyFont="1" applyFill="1" applyBorder="1" applyAlignment="1" applyProtection="1" quotePrefix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5" fillId="0" borderId="23" xfId="0" applyNumberFormat="1" applyFont="1" applyFill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28" xfId="0" applyFont="1" applyBorder="1" applyAlignment="1" applyProtection="1">
      <alignment/>
      <protection/>
    </xf>
    <xf numFmtId="2" fontId="5" fillId="0" borderId="23" xfId="0" applyNumberFormat="1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2" fontId="8" fillId="0" borderId="23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7" fillId="0" borderId="33" xfId="0" applyNumberFormat="1" applyFont="1" applyFill="1" applyBorder="1" applyAlignment="1" applyProtection="1">
      <alignment horizontal="center"/>
      <protection/>
    </xf>
    <xf numFmtId="0" fontId="5" fillId="38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0" fontId="16" fillId="0" borderId="18" xfId="0" applyFont="1" applyBorder="1" applyAlignment="1" applyProtection="1">
      <alignment/>
      <protection/>
    </xf>
    <xf numFmtId="0" fontId="5" fillId="0" borderId="0" xfId="0" applyFont="1" applyFill="1" applyBorder="1" applyAlignment="1">
      <alignment vertical="top" wrapText="1"/>
    </xf>
    <xf numFmtId="0" fontId="1" fillId="0" borderId="43" xfId="0" applyFont="1" applyFill="1" applyBorder="1" applyAlignment="1" applyProtection="1">
      <alignment horizontal="center"/>
      <protection/>
    </xf>
    <xf numFmtId="0" fontId="13" fillId="0" borderId="36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5" fillId="39" borderId="0" xfId="0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0" xfId="0" applyFont="1" applyBorder="1" applyAlignment="1" applyProtection="1" quotePrefix="1">
      <alignment horizontal="right"/>
      <protection/>
    </xf>
    <xf numFmtId="0" fontId="5" fillId="0" borderId="0" xfId="0" applyFont="1" applyAlignment="1" applyProtection="1" quotePrefix="1">
      <alignment horizontal="right"/>
      <protection/>
    </xf>
    <xf numFmtId="0" fontId="16" fillId="0" borderId="13" xfId="0" applyFont="1" applyBorder="1" applyAlignment="1" applyProtection="1">
      <alignment/>
      <protection/>
    </xf>
    <xf numFmtId="0" fontId="3" fillId="0" borderId="44" xfId="0" applyFont="1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/>
      <protection/>
    </xf>
    <xf numFmtId="168" fontId="5" fillId="0" borderId="44" xfId="0" applyNumberFormat="1" applyFont="1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 horizontal="right"/>
      <protection/>
    </xf>
    <xf numFmtId="0" fontId="5" fillId="0" borderId="44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/>
      <protection locked="0"/>
    </xf>
    <xf numFmtId="0" fontId="1" fillId="0" borderId="45" xfId="0" applyFont="1" applyFill="1" applyBorder="1" applyAlignment="1" applyProtection="1">
      <alignment horizontal="left"/>
      <protection/>
    </xf>
    <xf numFmtId="0" fontId="1" fillId="0" borderId="46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1" fillId="0" borderId="33" xfId="0" applyFont="1" applyFill="1" applyBorder="1" applyAlignment="1" applyProtection="1">
      <alignment horizontal="left"/>
      <protection/>
    </xf>
    <xf numFmtId="0" fontId="5" fillId="0" borderId="35" xfId="0" applyFont="1" applyFill="1" applyBorder="1" applyAlignment="1" applyProtection="1">
      <alignment horizontal="left"/>
      <protection/>
    </xf>
    <xf numFmtId="0" fontId="5" fillId="0" borderId="22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49" xfId="0" applyFont="1" applyBorder="1" applyAlignment="1" applyProtection="1">
      <alignment/>
      <protection/>
    </xf>
    <xf numFmtId="0" fontId="5" fillId="0" borderId="49" xfId="0" applyNumberFormat="1" applyFont="1" applyFill="1" applyBorder="1" applyAlignment="1" applyProtection="1">
      <alignment/>
      <protection/>
    </xf>
    <xf numFmtId="0" fontId="5" fillId="0" borderId="46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/>
      <protection/>
    </xf>
    <xf numFmtId="0" fontId="5" fillId="0" borderId="47" xfId="0" applyNumberFormat="1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left"/>
      <protection/>
    </xf>
    <xf numFmtId="171" fontId="12" fillId="0" borderId="37" xfId="0" applyNumberFormat="1" applyFont="1" applyFill="1" applyBorder="1" applyAlignment="1" applyProtection="1">
      <alignment horizontal="center"/>
      <protection/>
    </xf>
    <xf numFmtId="171" fontId="5" fillId="0" borderId="23" xfId="0" applyNumberFormat="1" applyFont="1" applyBorder="1" applyAlignment="1" applyProtection="1">
      <alignment horizontal="center"/>
      <protection/>
    </xf>
    <xf numFmtId="0" fontId="5" fillId="0" borderId="34" xfId="0" applyFont="1" applyBorder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171" fontId="8" fillId="0" borderId="23" xfId="0" applyNumberFormat="1" applyFont="1" applyFill="1" applyBorder="1" applyAlignment="1" applyProtection="1">
      <alignment horizontal="center"/>
      <protection/>
    </xf>
    <xf numFmtId="171" fontId="5" fillId="0" borderId="0" xfId="0" applyNumberFormat="1" applyFont="1" applyBorder="1" applyAlignment="1" applyProtection="1">
      <alignment horizontal="center"/>
      <protection/>
    </xf>
    <xf numFmtId="0" fontId="3" fillId="0" borderId="50" xfId="0" applyFont="1" applyFill="1" applyBorder="1" applyAlignment="1" applyProtection="1">
      <alignment horizontal="center"/>
      <protection/>
    </xf>
    <xf numFmtId="0" fontId="20" fillId="0" borderId="50" xfId="0" applyFont="1" applyFill="1" applyBorder="1" applyAlignment="1" applyProtection="1">
      <alignment horizontal="center"/>
      <protection/>
    </xf>
    <xf numFmtId="0" fontId="3" fillId="0" borderId="51" xfId="0" applyFont="1" applyFill="1" applyBorder="1" applyAlignment="1" applyProtection="1">
      <alignment horizontal="center"/>
      <protection/>
    </xf>
    <xf numFmtId="0" fontId="20" fillId="0" borderId="51" xfId="0" applyFont="1" applyFill="1" applyBorder="1" applyAlignment="1" applyProtection="1">
      <alignment horizontal="center"/>
      <protection/>
    </xf>
    <xf numFmtId="0" fontId="3" fillId="0" borderId="4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vertical="top"/>
      <protection/>
    </xf>
    <xf numFmtId="0" fontId="3" fillId="0" borderId="52" xfId="0" applyFont="1" applyFill="1" applyBorder="1" applyAlignment="1" applyProtection="1">
      <alignment/>
      <protection/>
    </xf>
    <xf numFmtId="0" fontId="3" fillId="0" borderId="53" xfId="0" applyFont="1" applyFill="1" applyBorder="1" applyAlignment="1" applyProtection="1">
      <alignment/>
      <protection/>
    </xf>
    <xf numFmtId="0" fontId="3" fillId="0" borderId="54" xfId="0" applyFont="1" applyBorder="1" applyAlignment="1" applyProtection="1">
      <alignment/>
      <protection/>
    </xf>
    <xf numFmtId="0" fontId="3" fillId="0" borderId="41" xfId="0" applyFont="1" applyFill="1" applyBorder="1" applyAlignment="1" applyProtection="1">
      <alignment horizontal="right"/>
      <protection/>
    </xf>
    <xf numFmtId="0" fontId="3" fillId="0" borderId="41" xfId="0" applyNumberFormat="1" applyFont="1" applyFill="1" applyBorder="1" applyAlignment="1" applyProtection="1">
      <alignment horizontal="right"/>
      <protection/>
    </xf>
    <xf numFmtId="0" fontId="3" fillId="0" borderId="55" xfId="0" applyNumberFormat="1" applyFont="1" applyFill="1" applyBorder="1" applyAlignment="1" applyProtection="1">
      <alignment horizontal="right"/>
      <protection/>
    </xf>
    <xf numFmtId="0" fontId="3" fillId="0" borderId="56" xfId="0" applyFont="1" applyFill="1" applyBorder="1" applyAlignment="1" applyProtection="1">
      <alignment horizontal="center"/>
      <protection/>
    </xf>
    <xf numFmtId="0" fontId="3" fillId="0" borderId="57" xfId="0" applyFont="1" applyFill="1" applyBorder="1" applyAlignment="1" applyProtection="1">
      <alignment horizontal="center"/>
      <protection/>
    </xf>
    <xf numFmtId="0" fontId="3" fillId="0" borderId="58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171" fontId="8" fillId="0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right"/>
      <protection/>
    </xf>
    <xf numFmtId="49" fontId="10" fillId="0" borderId="0" xfId="0" applyNumberFormat="1" applyFont="1" applyAlignment="1" applyProtection="1">
      <alignment horizontal="right"/>
      <protection/>
    </xf>
    <xf numFmtId="0" fontId="5" fillId="41" borderId="46" xfId="0" applyFont="1" applyFill="1" applyBorder="1" applyAlignment="1" applyProtection="1">
      <alignment horizontal="left"/>
      <protection locked="0"/>
    </xf>
    <xf numFmtId="0" fontId="5" fillId="41" borderId="58" xfId="0" applyFont="1" applyFill="1" applyBorder="1" applyAlignment="1" applyProtection="1">
      <alignment/>
      <protection locked="0"/>
    </xf>
    <xf numFmtId="0" fontId="5" fillId="41" borderId="59" xfId="0" applyFont="1" applyFill="1" applyBorder="1" applyAlignment="1" applyProtection="1">
      <alignment/>
      <protection locked="0"/>
    </xf>
    <xf numFmtId="0" fontId="5" fillId="41" borderId="59" xfId="0" applyFont="1" applyFill="1" applyBorder="1" applyAlignment="1" applyProtection="1">
      <alignment horizontal="left"/>
      <protection locked="0"/>
    </xf>
    <xf numFmtId="2" fontId="5" fillId="41" borderId="23" xfId="0" applyNumberFormat="1" applyFont="1" applyFill="1" applyBorder="1" applyAlignment="1" applyProtection="1">
      <alignment horizontal="center"/>
      <protection locked="0"/>
    </xf>
    <xf numFmtId="49" fontId="5" fillId="41" borderId="60" xfId="0" applyNumberFormat="1" applyFont="1" applyFill="1" applyBorder="1" applyAlignment="1" applyProtection="1">
      <alignment horizontal="left"/>
      <protection locked="0"/>
    </xf>
    <xf numFmtId="49" fontId="5" fillId="41" borderId="28" xfId="0" applyNumberFormat="1" applyFont="1" applyFill="1" applyBorder="1" applyAlignment="1" applyProtection="1">
      <alignment horizontal="center"/>
      <protection locked="0"/>
    </xf>
    <xf numFmtId="49" fontId="5" fillId="41" borderId="23" xfId="0" applyNumberFormat="1" applyFont="1" applyFill="1" applyBorder="1" applyAlignment="1" applyProtection="1">
      <alignment horizontal="center"/>
      <protection locked="0"/>
    </xf>
    <xf numFmtId="1" fontId="8" fillId="0" borderId="23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2" fontId="3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top" wrapText="1"/>
    </xf>
    <xf numFmtId="170" fontId="5" fillId="0" borderId="23" xfId="0" applyNumberFormat="1" applyFont="1" applyBorder="1" applyAlignment="1" applyProtection="1">
      <alignment horizontal="center"/>
      <protection/>
    </xf>
    <xf numFmtId="0" fontId="5" fillId="0" borderId="23" xfId="0" applyFont="1" applyBorder="1" applyAlignment="1" applyProtection="1" quotePrefix="1">
      <alignment horizontal="center"/>
      <protection/>
    </xf>
    <xf numFmtId="0" fontId="5" fillId="0" borderId="61" xfId="0" applyFont="1" applyFill="1" applyBorder="1" applyAlignment="1" applyProtection="1">
      <alignment/>
      <protection/>
    </xf>
    <xf numFmtId="0" fontId="5" fillId="0" borderId="61" xfId="0" applyFont="1" applyBorder="1" applyAlignment="1" applyProtection="1">
      <alignment horizontal="right"/>
      <protection/>
    </xf>
    <xf numFmtId="168" fontId="3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30" xfId="0" applyNumberFormat="1" applyFont="1" applyFill="1" applyBorder="1" applyAlignment="1" applyProtection="1">
      <alignment horizontal="center" vertical="center"/>
      <protection/>
    </xf>
    <xf numFmtId="168" fontId="3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171" fontId="5" fillId="0" borderId="0" xfId="0" applyNumberFormat="1" applyFont="1" applyFill="1" applyAlignment="1" applyProtection="1">
      <alignment/>
      <protection/>
    </xf>
    <xf numFmtId="172" fontId="5" fillId="0" borderId="0" xfId="0" applyNumberFormat="1" applyFont="1" applyFill="1" applyAlignment="1" applyProtection="1">
      <alignment/>
      <protection/>
    </xf>
    <xf numFmtId="0" fontId="1" fillId="0" borderId="62" xfId="0" applyNumberFormat="1" applyFont="1" applyFill="1" applyBorder="1" applyAlignment="1" applyProtection="1">
      <alignment horizontal="left"/>
      <protection/>
    </xf>
    <xf numFmtId="0" fontId="5" fillId="34" borderId="0" xfId="0" applyNumberFormat="1" applyFont="1" applyFill="1" applyAlignment="1" applyProtection="1">
      <alignment/>
      <protection/>
    </xf>
    <xf numFmtId="0" fontId="5" fillId="34" borderId="0" xfId="0" applyNumberFormat="1" applyFont="1" applyFill="1" applyBorder="1" applyAlignment="1" applyProtection="1">
      <alignment/>
      <protection/>
    </xf>
    <xf numFmtId="0" fontId="5" fillId="37" borderId="0" xfId="0" applyNumberFormat="1" applyFont="1" applyFill="1" applyAlignment="1" applyProtection="1">
      <alignment/>
      <protection/>
    </xf>
    <xf numFmtId="0" fontId="5" fillId="0" borderId="0" xfId="0" applyFont="1" applyBorder="1" applyAlignment="1" applyProtection="1">
      <alignment/>
      <protection hidden="1"/>
    </xf>
    <xf numFmtId="0" fontId="5" fillId="0" borderId="19" xfId="0" applyFont="1" applyBorder="1" applyAlignment="1" applyProtection="1">
      <alignment/>
      <protection hidden="1" locked="0"/>
    </xf>
    <xf numFmtId="0" fontId="5" fillId="41" borderId="28" xfId="0" applyFont="1" applyFill="1" applyBorder="1" applyAlignment="1" applyProtection="1">
      <alignment/>
      <protection locked="0"/>
    </xf>
    <xf numFmtId="0" fontId="5" fillId="41" borderId="37" xfId="0" applyFont="1" applyFill="1" applyBorder="1" applyAlignment="1" applyProtection="1">
      <alignment/>
      <protection locked="0"/>
    </xf>
    <xf numFmtId="0" fontId="5" fillId="0" borderId="37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5" fillId="41" borderId="23" xfId="0" applyNumberFormat="1" applyFont="1" applyFill="1" applyBorder="1" applyAlignment="1" applyProtection="1">
      <alignment horizontal="center"/>
      <protection locked="0"/>
    </xf>
    <xf numFmtId="49" fontId="5" fillId="0" borderId="41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5" fillId="36" borderId="22" xfId="0" applyFont="1" applyFill="1" applyBorder="1" applyAlignment="1" applyProtection="1">
      <alignment horizontal="center"/>
      <protection/>
    </xf>
    <xf numFmtId="0" fontId="5" fillId="35" borderId="0" xfId="0" applyFont="1" applyFill="1" applyAlignment="1" applyProtection="1">
      <alignment/>
      <protection/>
    </xf>
    <xf numFmtId="0" fontId="29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" fillId="0" borderId="63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2" fillId="0" borderId="37" xfId="0" applyFont="1" applyFill="1" applyBorder="1" applyAlignment="1" applyProtection="1">
      <alignment horizontal="right"/>
      <protection/>
    </xf>
    <xf numFmtId="0" fontId="5" fillId="0" borderId="0" xfId="0" applyFont="1" applyAlignment="1" applyProtection="1" quotePrefix="1">
      <alignment/>
      <protection/>
    </xf>
    <xf numFmtId="171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5" fillId="0" borderId="14" xfId="0" applyFont="1" applyBorder="1" applyAlignment="1" applyProtection="1">
      <alignment/>
      <protection locked="0"/>
    </xf>
    <xf numFmtId="49" fontId="5" fillId="0" borderId="15" xfId="0" applyNumberFormat="1" applyFont="1" applyBorder="1" applyAlignment="1" applyProtection="1">
      <alignment/>
      <protection/>
    </xf>
    <xf numFmtId="49" fontId="5" fillId="0" borderId="16" xfId="0" applyNumberFormat="1" applyFont="1" applyBorder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/>
      <protection/>
    </xf>
    <xf numFmtId="175" fontId="5" fillId="41" borderId="64" xfId="0" applyNumberFormat="1" applyFont="1" applyFill="1" applyBorder="1" applyAlignment="1" applyProtection="1">
      <alignment horizontal="left"/>
      <protection/>
    </xf>
    <xf numFmtId="171" fontId="5" fillId="41" borderId="62" xfId="0" applyNumberFormat="1" applyFont="1" applyFill="1" applyBorder="1" applyAlignment="1" applyProtection="1">
      <alignment horizontal="center"/>
      <protection locked="0"/>
    </xf>
    <xf numFmtId="171" fontId="28" fillId="0" borderId="0" xfId="59" applyNumberFormat="1" applyFont="1" applyAlignment="1" applyProtection="1">
      <alignment horizontal="center"/>
      <protection/>
    </xf>
    <xf numFmtId="171" fontId="28" fillId="0" borderId="0" xfId="0" applyNumberFormat="1" applyFont="1" applyAlignment="1" applyProtection="1">
      <alignment horizontal="center"/>
      <protection/>
    </xf>
    <xf numFmtId="0" fontId="16" fillId="0" borderId="0" xfId="0" applyFont="1" applyFill="1" applyAlignment="1" applyProtection="1">
      <alignment horizontal="right" vertical="top"/>
      <protection/>
    </xf>
    <xf numFmtId="1" fontId="5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4" fillId="0" borderId="0" xfId="0" applyFont="1" applyFill="1" applyBorder="1" applyAlignment="1" applyProtection="1">
      <alignment vertical="top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5" fillId="0" borderId="29" xfId="0" applyNumberFormat="1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5" fillId="0" borderId="65" xfId="0" applyFont="1" applyBorder="1" applyAlignment="1" applyProtection="1">
      <alignment horizontal="center"/>
      <protection/>
    </xf>
    <xf numFmtId="0" fontId="5" fillId="0" borderId="51" xfId="0" applyFont="1" applyBorder="1" applyAlignment="1" applyProtection="1">
      <alignment horizontal="center"/>
      <protection/>
    </xf>
    <xf numFmtId="1" fontId="5" fillId="0" borderId="30" xfId="0" applyNumberFormat="1" applyFont="1" applyFill="1" applyBorder="1" applyAlignment="1" applyProtection="1">
      <alignment horizontal="center"/>
      <protection/>
    </xf>
    <xf numFmtId="1" fontId="8" fillId="0" borderId="33" xfId="0" applyNumberFormat="1" applyFont="1" applyFill="1" applyBorder="1" applyAlignment="1" applyProtection="1">
      <alignment horizontal="center"/>
      <protection/>
    </xf>
    <xf numFmtId="1" fontId="8" fillId="0" borderId="30" xfId="0" applyNumberFormat="1" applyFont="1" applyFill="1" applyBorder="1" applyAlignment="1" applyProtection="1">
      <alignment horizontal="center"/>
      <protection/>
    </xf>
    <xf numFmtId="1" fontId="5" fillId="0" borderId="23" xfId="0" applyNumberFormat="1" applyFont="1" applyFill="1" applyBorder="1" applyAlignment="1" applyProtection="1">
      <alignment horizontal="center"/>
      <protection/>
    </xf>
    <xf numFmtId="0" fontId="29" fillId="0" borderId="0" xfId="0" applyFont="1" applyAlignment="1" applyProtection="1">
      <alignment vertical="top"/>
      <protection/>
    </xf>
    <xf numFmtId="0" fontId="5" fillId="0" borderId="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right"/>
      <protection/>
    </xf>
    <xf numFmtId="14" fontId="1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 quotePrefix="1">
      <alignment/>
      <protection locked="0"/>
    </xf>
    <xf numFmtId="0" fontId="5" fillId="0" borderId="52" xfId="0" applyFont="1" applyFill="1" applyBorder="1" applyAlignment="1" applyProtection="1">
      <alignment/>
      <protection/>
    </xf>
    <xf numFmtId="0" fontId="5" fillId="0" borderId="53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/>
      <protection/>
    </xf>
    <xf numFmtId="0" fontId="5" fillId="0" borderId="66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8" xfId="0" applyFont="1" applyBorder="1" applyAlignment="1" applyProtection="1">
      <alignment horizontal="right"/>
      <protection/>
    </xf>
    <xf numFmtId="0" fontId="5" fillId="0" borderId="14" xfId="0" applyFont="1" applyFill="1" applyBorder="1" applyAlignment="1" applyProtection="1">
      <alignment horizontal="right"/>
      <protection/>
    </xf>
    <xf numFmtId="0" fontId="17" fillId="0" borderId="0" xfId="0" applyFont="1" applyFill="1" applyAlignment="1" applyProtection="1">
      <alignment horizontal="right" vertical="top" wrapText="1"/>
      <protection/>
    </xf>
    <xf numFmtId="49" fontId="15" fillId="0" borderId="0" xfId="0" applyNumberFormat="1" applyFont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171" fontId="12" fillId="0" borderId="0" xfId="0" applyNumberFormat="1" applyFont="1" applyFill="1" applyBorder="1" applyAlignment="1" applyProtection="1">
      <alignment horizontal="center"/>
      <protection/>
    </xf>
    <xf numFmtId="0" fontId="1" fillId="0" borderId="67" xfId="0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/>
      <protection locked="0"/>
    </xf>
    <xf numFmtId="49" fontId="5" fillId="41" borderId="17" xfId="0" applyNumberFormat="1" applyFont="1" applyFill="1" applyBorder="1" applyAlignment="1" applyProtection="1">
      <alignment horizontal="center"/>
      <protection locked="0"/>
    </xf>
    <xf numFmtId="49" fontId="5" fillId="0" borderId="60" xfId="0" applyNumberFormat="1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49" fontId="5" fillId="0" borderId="68" xfId="0" applyNumberFormat="1" applyFont="1" applyFill="1" applyBorder="1" applyAlignment="1" applyProtection="1">
      <alignment/>
      <protection/>
    </xf>
    <xf numFmtId="0" fontId="5" fillId="0" borderId="69" xfId="0" applyFont="1" applyFill="1" applyBorder="1" applyAlignment="1" applyProtection="1">
      <alignment/>
      <protection/>
    </xf>
    <xf numFmtId="49" fontId="5" fillId="41" borderId="69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Border="1" applyAlignment="1" applyProtection="1">
      <alignment/>
      <protection/>
    </xf>
    <xf numFmtId="14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left"/>
      <protection/>
    </xf>
    <xf numFmtId="0" fontId="5" fillId="0" borderId="16" xfId="0" applyNumberFormat="1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 vertical="top"/>
      <protection/>
    </xf>
    <xf numFmtId="171" fontId="10" fillId="0" borderId="0" xfId="0" applyNumberFormat="1" applyFont="1" applyAlignment="1" applyProtection="1">
      <alignment horizontal="center" vertical="top"/>
      <protection/>
    </xf>
    <xf numFmtId="0" fontId="35" fillId="0" borderId="0" xfId="0" applyFont="1" applyAlignment="1" applyProtection="1">
      <alignment horizontal="right"/>
      <protection/>
    </xf>
    <xf numFmtId="0" fontId="34" fillId="0" borderId="0" xfId="0" applyFont="1" applyFill="1" applyBorder="1" applyAlignment="1">
      <alignment/>
    </xf>
    <xf numFmtId="171" fontId="34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/>
    </xf>
    <xf numFmtId="170" fontId="8" fillId="41" borderId="62" xfId="0" applyNumberFormat="1" applyFont="1" applyFill="1" applyBorder="1" applyAlignment="1" applyProtection="1">
      <alignment horizontal="center"/>
      <protection locked="0"/>
    </xf>
    <xf numFmtId="170" fontId="5" fillId="41" borderId="23" xfId="0" applyNumberFormat="1" applyFont="1" applyFill="1" applyBorder="1" applyAlignment="1" applyProtection="1">
      <alignment horizontal="center"/>
      <protection locked="0"/>
    </xf>
    <xf numFmtId="170" fontId="5" fillId="41" borderId="65" xfId="0" applyNumberFormat="1" applyFont="1" applyFill="1" applyBorder="1" applyAlignment="1" applyProtection="1">
      <alignment horizontal="center"/>
      <protection locked="0"/>
    </xf>
    <xf numFmtId="170" fontId="5" fillId="41" borderId="69" xfId="0" applyNumberFormat="1" applyFont="1" applyFill="1" applyBorder="1" applyAlignment="1" applyProtection="1">
      <alignment horizontal="center"/>
      <protection locked="0"/>
    </xf>
    <xf numFmtId="170" fontId="3" fillId="0" borderId="31" xfId="0" applyNumberFormat="1" applyFont="1" applyFill="1" applyBorder="1" applyAlignment="1" applyProtection="1">
      <alignment horizontal="center" vertical="center"/>
      <protection/>
    </xf>
    <xf numFmtId="172" fontId="8" fillId="0" borderId="23" xfId="0" applyNumberFormat="1" applyFont="1" applyFill="1" applyBorder="1" applyAlignment="1" applyProtection="1">
      <alignment horizontal="center"/>
      <protection/>
    </xf>
    <xf numFmtId="170" fontId="5" fillId="0" borderId="0" xfId="0" applyNumberFormat="1" applyFont="1" applyFill="1" applyAlignment="1" applyProtection="1">
      <alignment/>
      <protection/>
    </xf>
    <xf numFmtId="171" fontId="5" fillId="0" borderId="0" xfId="0" applyNumberFormat="1" applyFont="1" applyFill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/>
      <protection/>
    </xf>
    <xf numFmtId="164" fontId="3" fillId="0" borderId="31" xfId="0" applyNumberFormat="1" applyFont="1" applyFill="1" applyBorder="1" applyAlignment="1" applyProtection="1">
      <alignment horizontal="center" vertical="center"/>
      <protection/>
    </xf>
    <xf numFmtId="172" fontId="3" fillId="0" borderId="19" xfId="0" applyNumberFormat="1" applyFont="1" applyFill="1" applyBorder="1" applyAlignment="1" applyProtection="1">
      <alignment horizontal="center" vertical="center"/>
      <protection/>
    </xf>
    <xf numFmtId="172" fontId="1" fillId="0" borderId="0" xfId="0" applyNumberFormat="1" applyFont="1" applyFill="1" applyAlignment="1" applyProtection="1">
      <alignment horizontal="center" vertical="center"/>
      <protection/>
    </xf>
    <xf numFmtId="172" fontId="5" fillId="0" borderId="19" xfId="0" applyNumberFormat="1" applyFont="1" applyFill="1" applyBorder="1" applyAlignment="1" applyProtection="1">
      <alignment horizontal="center" vertical="center"/>
      <protection/>
    </xf>
    <xf numFmtId="172" fontId="8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59" xfId="0" applyNumberFormat="1" applyFont="1" applyFill="1" applyBorder="1" applyAlignment="1" applyProtection="1">
      <alignment horizontal="left"/>
      <protection/>
    </xf>
    <xf numFmtId="0" fontId="3" fillId="0" borderId="7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0" fontId="5" fillId="0" borderId="11" xfId="0" applyFont="1" applyFill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 horizontal="right"/>
      <protection/>
    </xf>
    <xf numFmtId="172" fontId="5" fillId="0" borderId="0" xfId="0" applyNumberFormat="1" applyFont="1" applyFill="1" applyAlignment="1" applyProtection="1">
      <alignment horizontal="center" vertical="center"/>
      <protection/>
    </xf>
    <xf numFmtId="171" fontId="3" fillId="42" borderId="19" xfId="0" applyNumberFormat="1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/>
      <protection/>
    </xf>
    <xf numFmtId="0" fontId="5" fillId="0" borderId="41" xfId="0" applyFont="1" applyFill="1" applyBorder="1" applyAlignment="1" applyProtection="1">
      <alignment vertical="center" wrapText="1"/>
      <protection/>
    </xf>
    <xf numFmtId="0" fontId="5" fillId="0" borderId="71" xfId="0" applyNumberFormat="1" applyFont="1" applyFill="1" applyBorder="1" applyAlignment="1" applyProtection="1">
      <alignment horizontal="left"/>
      <protection/>
    </xf>
    <xf numFmtId="0" fontId="5" fillId="0" borderId="29" xfId="0" applyNumberFormat="1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/>
      <protection locked="0"/>
    </xf>
    <xf numFmtId="0" fontId="32" fillId="43" borderId="0" xfId="0" applyFont="1" applyFill="1" applyBorder="1" applyAlignment="1" applyProtection="1">
      <alignment vertical="center" wrapText="1"/>
      <protection/>
    </xf>
    <xf numFmtId="0" fontId="32" fillId="43" borderId="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 wrapText="1"/>
    </xf>
    <xf numFmtId="0" fontId="39" fillId="38" borderId="15" xfId="0" applyFont="1" applyFill="1" applyBorder="1" applyAlignment="1">
      <alignment vertical="center"/>
    </xf>
    <xf numFmtId="0" fontId="1" fillId="38" borderId="0" xfId="0" applyFont="1" applyFill="1" applyBorder="1" applyAlignment="1">
      <alignment vertical="center"/>
    </xf>
    <xf numFmtId="0" fontId="1" fillId="38" borderId="49" xfId="0" applyFont="1" applyFill="1" applyBorder="1" applyAlignment="1" quotePrefix="1">
      <alignment horizontal="center" vertical="center"/>
    </xf>
    <xf numFmtId="0" fontId="1" fillId="38" borderId="72" xfId="0" applyFont="1" applyFill="1" applyBorder="1" applyAlignment="1" applyProtection="1">
      <alignment horizontal="center" vertical="center"/>
      <protection/>
    </xf>
    <xf numFmtId="0" fontId="39" fillId="38" borderId="73" xfId="0" applyFont="1" applyFill="1" applyBorder="1" applyAlignment="1">
      <alignment vertical="center"/>
    </xf>
    <xf numFmtId="0" fontId="1" fillId="38" borderId="44" xfId="0" applyFont="1" applyFill="1" applyBorder="1" applyAlignment="1">
      <alignment vertical="center"/>
    </xf>
    <xf numFmtId="0" fontId="1" fillId="38" borderId="44" xfId="0" applyFont="1" applyFill="1" applyBorder="1" applyAlignment="1" quotePrefix="1">
      <alignment horizontal="center" vertical="center"/>
    </xf>
    <xf numFmtId="0" fontId="1" fillId="38" borderId="74" xfId="0" applyFont="1" applyFill="1" applyBorder="1" applyAlignment="1" applyProtection="1" quotePrefix="1">
      <alignment horizontal="center" vertical="center"/>
      <protection/>
    </xf>
    <xf numFmtId="0" fontId="31" fillId="38" borderId="44" xfId="0" applyFont="1" applyFill="1" applyBorder="1" applyAlignment="1">
      <alignment vertical="center"/>
    </xf>
    <xf numFmtId="0" fontId="1" fillId="38" borderId="44" xfId="0" applyFont="1" applyFill="1" applyBorder="1" applyAlignment="1">
      <alignment horizontal="center" vertical="center"/>
    </xf>
    <xf numFmtId="0" fontId="1" fillId="38" borderId="74" xfId="0" applyFont="1" applyFill="1" applyBorder="1" applyAlignment="1" applyProtection="1">
      <alignment horizontal="center"/>
      <protection/>
    </xf>
    <xf numFmtId="0" fontId="1" fillId="38" borderId="74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>
      <alignment vertical="center"/>
    </xf>
    <xf numFmtId="0" fontId="1" fillId="0" borderId="76" xfId="0" applyFont="1" applyFill="1" applyBorder="1" applyAlignment="1">
      <alignment vertical="center"/>
    </xf>
    <xf numFmtId="0" fontId="1" fillId="44" borderId="51" xfId="0" applyFont="1" applyFill="1" applyBorder="1" applyAlignment="1" applyProtection="1">
      <alignment horizontal="center"/>
      <protection locked="0"/>
    </xf>
    <xf numFmtId="0" fontId="1" fillId="44" borderId="23" xfId="0" applyFont="1" applyFill="1" applyBorder="1" applyAlignment="1" applyProtection="1">
      <alignment horizontal="center" vertical="center"/>
      <protection locked="0"/>
    </xf>
    <xf numFmtId="0" fontId="1" fillId="44" borderId="77" xfId="0" applyFont="1" applyFill="1" applyBorder="1" applyAlignment="1" applyProtection="1">
      <alignment horizontal="center" vertical="center"/>
      <protection locked="0"/>
    </xf>
    <xf numFmtId="171" fontId="5" fillId="41" borderId="69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1" fillId="0" borderId="78" xfId="0" applyFont="1" applyFill="1" applyBorder="1" applyAlignment="1">
      <alignment horizontal="center" vertical="center"/>
    </xf>
    <xf numFmtId="0" fontId="1" fillId="0" borderId="76" xfId="0" applyFont="1" applyFill="1" applyBorder="1" applyAlignment="1">
      <alignment horizontal="right" vertical="center"/>
    </xf>
    <xf numFmtId="49" fontId="5" fillId="41" borderId="68" xfId="0" applyNumberFormat="1" applyFont="1" applyFill="1" applyBorder="1" applyAlignment="1" applyProtection="1">
      <alignment/>
      <protection locked="0"/>
    </xf>
    <xf numFmtId="0" fontId="5" fillId="41" borderId="79" xfId="0" applyFont="1" applyFill="1" applyBorder="1" applyAlignment="1" applyProtection="1">
      <alignment/>
      <protection locked="0"/>
    </xf>
    <xf numFmtId="170" fontId="8" fillId="41" borderId="80" xfId="0" applyNumberFormat="1" applyFont="1" applyFill="1" applyBorder="1" applyAlignment="1" applyProtection="1">
      <alignment horizontal="center"/>
      <protection locked="0"/>
    </xf>
    <xf numFmtId="171" fontId="5" fillId="41" borderId="80" xfId="0" applyNumberFormat="1" applyFont="1" applyFill="1" applyBorder="1" applyAlignment="1" applyProtection="1">
      <alignment horizontal="center"/>
      <protection locked="0"/>
    </xf>
    <xf numFmtId="164" fontId="11" fillId="0" borderId="81" xfId="0" applyNumberFormat="1" applyFont="1" applyFill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/>
      <protection/>
    </xf>
    <xf numFmtId="0" fontId="21" fillId="0" borderId="16" xfId="0" applyFont="1" applyFill="1" applyBorder="1" applyAlignment="1">
      <alignment vertical="center"/>
    </xf>
    <xf numFmtId="0" fontId="21" fillId="0" borderId="12" xfId="0" applyFont="1" applyFill="1" applyBorder="1" applyAlignment="1">
      <alignment horizontal="right" vertical="center"/>
    </xf>
    <xf numFmtId="0" fontId="21" fillId="0" borderId="51" xfId="0" applyFont="1" applyFill="1" applyBorder="1" applyAlignment="1" quotePrefix="1">
      <alignment horizontal="center" vertical="center"/>
    </xf>
    <xf numFmtId="0" fontId="21" fillId="0" borderId="0" xfId="0" applyFont="1" applyFill="1" applyBorder="1" applyAlignment="1" quotePrefix="1">
      <alignment horizontal="center" vertical="center"/>
    </xf>
    <xf numFmtId="0" fontId="21" fillId="0" borderId="11" xfId="0" applyFont="1" applyFill="1" applyBorder="1" applyAlignment="1">
      <alignment horizontal="right" vertical="center"/>
    </xf>
    <xf numFmtId="0" fontId="21" fillId="0" borderId="23" xfId="0" applyFont="1" applyFill="1" applyBorder="1" applyAlignment="1" quotePrefix="1">
      <alignment horizontal="center" vertical="center"/>
    </xf>
    <xf numFmtId="0" fontId="21" fillId="0" borderId="17" xfId="0" applyFont="1" applyFill="1" applyBorder="1" applyAlignment="1">
      <alignment horizontal="right" vertical="center"/>
    </xf>
    <xf numFmtId="0" fontId="21" fillId="0" borderId="82" xfId="0" applyFont="1" applyFill="1" applyBorder="1" applyAlignment="1">
      <alignment horizontal="right" vertical="center"/>
    </xf>
    <xf numFmtId="0" fontId="21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83" xfId="0" applyFont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20" fillId="0" borderId="70" xfId="0" applyFont="1" applyFill="1" applyBorder="1" applyAlignment="1" applyProtection="1">
      <alignment horizontal="center"/>
      <protection/>
    </xf>
    <xf numFmtId="0" fontId="20" fillId="0" borderId="58" xfId="0" applyFont="1" applyFill="1" applyBorder="1" applyAlignment="1" applyProtection="1">
      <alignment horizontal="center"/>
      <protection/>
    </xf>
    <xf numFmtId="0" fontId="21" fillId="0" borderId="48" xfId="0" applyFont="1" applyFill="1" applyBorder="1" applyAlignment="1" quotePrefix="1">
      <alignment horizontal="center" vertical="center"/>
    </xf>
    <xf numFmtId="0" fontId="21" fillId="0" borderId="65" xfId="0" applyFont="1" applyFill="1" applyBorder="1" applyAlignment="1" quotePrefix="1">
      <alignment horizontal="center" vertical="center"/>
    </xf>
    <xf numFmtId="0" fontId="21" fillId="0" borderId="84" xfId="0" applyFont="1" applyFill="1" applyBorder="1" applyAlignment="1" quotePrefix="1">
      <alignment horizontal="center" vertical="center"/>
    </xf>
    <xf numFmtId="0" fontId="21" fillId="0" borderId="85" xfId="0" applyFont="1" applyFill="1" applyBorder="1" applyAlignment="1">
      <alignment vertical="center"/>
    </xf>
    <xf numFmtId="0" fontId="21" fillId="0" borderId="86" xfId="0" applyFont="1" applyFill="1" applyBorder="1" applyAlignment="1">
      <alignment horizontal="right" vertical="center"/>
    </xf>
    <xf numFmtId="0" fontId="21" fillId="0" borderId="11" xfId="0" applyFont="1" applyFill="1" applyBorder="1" applyAlignment="1" quotePrefix="1">
      <alignment horizontal="center" vertical="center"/>
    </xf>
    <xf numFmtId="0" fontId="21" fillId="0" borderId="18" xfId="0" applyFont="1" applyFill="1" applyBorder="1" applyAlignment="1" quotePrefix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6" fillId="0" borderId="0" xfId="0" applyFont="1" applyAlignment="1">
      <alignment vertical="top" wrapText="1"/>
    </xf>
    <xf numFmtId="0" fontId="1" fillId="0" borderId="0" xfId="0" applyFont="1" applyAlignment="1">
      <alignment horizontal="right" vertical="center"/>
    </xf>
    <xf numFmtId="2" fontId="5" fillId="44" borderId="59" xfId="0" applyNumberFormat="1" applyFont="1" applyFill="1" applyBorder="1" applyAlignment="1" applyProtection="1">
      <alignment horizontal="center"/>
      <protection locked="0"/>
    </xf>
    <xf numFmtId="2" fontId="5" fillId="44" borderId="87" xfId="0" applyNumberFormat="1" applyFont="1" applyFill="1" applyBorder="1" applyAlignment="1" applyProtection="1">
      <alignment horizontal="center"/>
      <protection locked="0"/>
    </xf>
    <xf numFmtId="0" fontId="21" fillId="0" borderId="85" xfId="0" applyFont="1" applyBorder="1" applyAlignment="1">
      <alignment vertical="center"/>
    </xf>
    <xf numFmtId="0" fontId="20" fillId="0" borderId="45" xfId="0" applyFont="1" applyFill="1" applyBorder="1" applyAlignment="1" applyProtection="1">
      <alignment horizontal="center"/>
      <protection/>
    </xf>
    <xf numFmtId="0" fontId="20" fillId="0" borderId="16" xfId="0" applyFont="1" applyFill="1" applyBorder="1" applyAlignment="1" applyProtection="1">
      <alignment horizontal="center"/>
      <protection/>
    </xf>
    <xf numFmtId="171" fontId="5" fillId="41" borderId="16" xfId="0" applyNumberFormat="1" applyFont="1" applyFill="1" applyBorder="1" applyAlignment="1" applyProtection="1">
      <alignment horizontal="center"/>
      <protection locked="0"/>
    </xf>
    <xf numFmtId="171" fontId="5" fillId="41" borderId="13" xfId="0" applyNumberFormat="1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/>
      <protection/>
    </xf>
    <xf numFmtId="0" fontId="23" fillId="0" borderId="88" xfId="0" applyFont="1" applyBorder="1" applyAlignment="1" applyProtection="1">
      <alignment/>
      <protection/>
    </xf>
    <xf numFmtId="164" fontId="11" fillId="0" borderId="89" xfId="0" applyNumberFormat="1" applyFont="1" applyFill="1" applyBorder="1" applyAlignment="1" applyProtection="1">
      <alignment horizontal="center" vertical="center"/>
      <protection/>
    </xf>
    <xf numFmtId="164" fontId="11" fillId="0" borderId="25" xfId="0" applyNumberFormat="1" applyFont="1" applyFill="1" applyBorder="1" applyAlignment="1" applyProtection="1">
      <alignment horizontal="center" vertical="center"/>
      <protection/>
    </xf>
    <xf numFmtId="164" fontId="11" fillId="0" borderId="90" xfId="0" applyNumberFormat="1" applyFont="1" applyFill="1" applyBorder="1" applyAlignment="1" applyProtection="1">
      <alignment horizontal="center" vertical="center"/>
      <protection/>
    </xf>
    <xf numFmtId="1" fontId="10" fillId="33" borderId="90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/>
      <protection/>
    </xf>
    <xf numFmtId="0" fontId="5" fillId="0" borderId="23" xfId="0" applyFont="1" applyBorder="1" applyAlignment="1">
      <alignment/>
    </xf>
    <xf numFmtId="0" fontId="5" fillId="39" borderId="23" xfId="0" applyFont="1" applyFill="1" applyBorder="1" applyAlignment="1">
      <alignment/>
    </xf>
    <xf numFmtId="0" fontId="5" fillId="0" borderId="23" xfId="0" applyFont="1" applyBorder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171" fontId="5" fillId="0" borderId="23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/>
    </xf>
    <xf numFmtId="0" fontId="5" fillId="0" borderId="23" xfId="0" applyFont="1" applyBorder="1" applyAlignment="1">
      <alignment horizontal="center"/>
    </xf>
    <xf numFmtId="1" fontId="5" fillId="41" borderId="23" xfId="0" applyNumberFormat="1" applyFont="1" applyFill="1" applyBorder="1" applyAlignment="1" applyProtection="1">
      <alignment horizontal="center"/>
      <protection locked="0"/>
    </xf>
    <xf numFmtId="2" fontId="5" fillId="44" borderId="58" xfId="0" applyNumberFormat="1" applyFont="1" applyFill="1" applyBorder="1" applyAlignment="1" applyProtection="1">
      <alignment horizontal="center"/>
      <protection locked="0"/>
    </xf>
    <xf numFmtId="2" fontId="5" fillId="44" borderId="91" xfId="0" applyNumberFormat="1" applyFont="1" applyFill="1" applyBorder="1" applyAlignment="1" applyProtection="1">
      <alignment horizontal="center"/>
      <protection locked="0"/>
    </xf>
    <xf numFmtId="171" fontId="5" fillId="41" borderId="23" xfId="0" applyNumberFormat="1" applyFont="1" applyFill="1" applyBorder="1" applyAlignment="1" applyProtection="1">
      <alignment horizontal="center"/>
      <protection locked="0"/>
    </xf>
    <xf numFmtId="171" fontId="5" fillId="0" borderId="0" xfId="0" applyNumberFormat="1" applyFont="1" applyFill="1" applyBorder="1" applyAlignment="1" applyProtection="1">
      <alignment horizontal="center"/>
      <protection/>
    </xf>
    <xf numFmtId="2" fontId="28" fillId="0" borderId="0" xfId="0" applyNumberFormat="1" applyFont="1" applyFill="1" applyBorder="1" applyAlignment="1" applyProtection="1">
      <alignment horizontal="right"/>
      <protection/>
    </xf>
    <xf numFmtId="2" fontId="28" fillId="0" borderId="37" xfId="0" applyNumberFormat="1" applyFont="1" applyFill="1" applyBorder="1" applyAlignment="1" applyProtection="1">
      <alignment horizontal="center"/>
      <protection/>
    </xf>
    <xf numFmtId="0" fontId="5" fillId="0" borderId="65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49" fontId="5" fillId="0" borderId="18" xfId="0" applyNumberFormat="1" applyFont="1" applyBorder="1" applyAlignment="1" applyProtection="1">
      <alignment/>
      <protection/>
    </xf>
    <xf numFmtId="0" fontId="17" fillId="0" borderId="0" xfId="0" applyFont="1" applyBorder="1" applyAlignment="1">
      <alignment vertical="top" wrapText="1"/>
    </xf>
    <xf numFmtId="166" fontId="1" fillId="0" borderId="0" xfId="0" applyNumberFormat="1" applyFont="1" applyFill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left"/>
      <protection/>
    </xf>
    <xf numFmtId="0" fontId="5" fillId="0" borderId="55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right"/>
      <protection/>
    </xf>
    <xf numFmtId="0" fontId="5" fillId="41" borderId="87" xfId="0" applyFont="1" applyFill="1" applyBorder="1" applyAlignment="1" applyProtection="1">
      <alignment horizontal="left"/>
      <protection locked="0"/>
    </xf>
    <xf numFmtId="0" fontId="3" fillId="0" borderId="68" xfId="0" applyFont="1" applyFill="1" applyBorder="1" applyAlignment="1" applyProtection="1">
      <alignment/>
      <protection/>
    </xf>
    <xf numFmtId="171" fontId="5" fillId="41" borderId="92" xfId="0" applyNumberFormat="1" applyFont="1" applyFill="1" applyBorder="1" applyAlignment="1" applyProtection="1">
      <alignment horizontal="center"/>
      <protection locked="0"/>
    </xf>
    <xf numFmtId="0" fontId="1" fillId="0" borderId="83" xfId="0" applyFont="1" applyFill="1" applyBorder="1" applyAlignment="1" applyProtection="1">
      <alignment/>
      <protection/>
    </xf>
    <xf numFmtId="171" fontId="5" fillId="41" borderId="59" xfId="0" applyNumberFormat="1" applyFont="1" applyFill="1" applyBorder="1" applyAlignment="1" applyProtection="1">
      <alignment horizontal="center"/>
      <protection locked="0"/>
    </xf>
    <xf numFmtId="171" fontId="5" fillId="41" borderId="87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/>
      <protection/>
    </xf>
    <xf numFmtId="0" fontId="24" fillId="0" borderId="47" xfId="0" applyFont="1" applyFill="1" applyBorder="1" applyAlignment="1" applyProtection="1">
      <alignment horizontal="right"/>
      <protection/>
    </xf>
    <xf numFmtId="0" fontId="3" fillId="0" borderId="54" xfId="0" applyFont="1" applyBorder="1" applyAlignment="1" applyProtection="1">
      <alignment horizontal="left"/>
      <protection/>
    </xf>
    <xf numFmtId="0" fontId="3" fillId="41" borderId="59" xfId="0" applyFont="1" applyFill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right"/>
      <protection/>
    </xf>
    <xf numFmtId="0" fontId="79" fillId="0" borderId="0" xfId="0" applyFont="1" applyAlignment="1" applyProtection="1">
      <alignment horizontal="right"/>
      <protection/>
    </xf>
    <xf numFmtId="0" fontId="5" fillId="44" borderId="42" xfId="0" applyNumberFormat="1" applyFont="1" applyFill="1" applyBorder="1" applyAlignment="1" applyProtection="1">
      <alignment horizontal="center"/>
      <protection locked="0"/>
    </xf>
    <xf numFmtId="0" fontId="5" fillId="44" borderId="53" xfId="0" applyNumberFormat="1" applyFont="1" applyFill="1" applyBorder="1" applyAlignment="1" applyProtection="1">
      <alignment horizontal="center"/>
      <protection locked="0"/>
    </xf>
    <xf numFmtId="0" fontId="5" fillId="44" borderId="93" xfId="0" applyNumberFormat="1" applyFont="1" applyFill="1" applyBorder="1" applyAlignment="1" applyProtection="1">
      <alignment horizontal="center"/>
      <protection locked="0"/>
    </xf>
    <xf numFmtId="0" fontId="16" fillId="0" borderId="4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21" xfId="0" applyFont="1" applyBorder="1" applyAlignment="1">
      <alignment vertical="center"/>
    </xf>
    <xf numFmtId="0" fontId="41" fillId="0" borderId="0" xfId="0" applyFont="1" applyAlignment="1">
      <alignment/>
    </xf>
    <xf numFmtId="0" fontId="3" fillId="0" borderId="19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/>
    </xf>
    <xf numFmtId="0" fontId="34" fillId="0" borderId="0" xfId="0" applyFont="1" applyBorder="1" applyAlignment="1">
      <alignment horizontal="right"/>
    </xf>
    <xf numFmtId="0" fontId="34" fillId="0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23" fillId="0" borderId="51" xfId="0" applyFont="1" applyBorder="1" applyAlignment="1" applyProtection="1">
      <alignment/>
      <protection/>
    </xf>
    <xf numFmtId="0" fontId="5" fillId="41" borderId="59" xfId="53" applyNumberFormat="1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vertical="top" wrapText="1"/>
      <protection/>
    </xf>
    <xf numFmtId="168" fontId="34" fillId="0" borderId="0" xfId="0" applyNumberFormat="1" applyFont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 quotePrefix="1">
      <alignment horizontal="center"/>
    </xf>
    <xf numFmtId="0" fontId="34" fillId="0" borderId="0" xfId="0" applyFont="1" applyBorder="1" applyAlignment="1" quotePrefix="1">
      <alignment horizontal="right"/>
    </xf>
    <xf numFmtId="1" fontId="34" fillId="0" borderId="0" xfId="0" applyNumberFormat="1" applyFont="1" applyBorder="1" applyAlignment="1">
      <alignment horizontal="left"/>
    </xf>
    <xf numFmtId="171" fontId="34" fillId="0" borderId="0" xfId="0" applyNumberFormat="1" applyFont="1" applyBorder="1" applyAlignment="1">
      <alignment horizontal="center"/>
    </xf>
    <xf numFmtId="1" fontId="34" fillId="0" borderId="0" xfId="0" applyNumberFormat="1" applyFont="1" applyBorder="1" applyAlignment="1">
      <alignment horizontal="center"/>
    </xf>
    <xf numFmtId="0" fontId="34" fillId="0" borderId="0" xfId="0" applyFont="1" applyFill="1" applyBorder="1" applyAlignment="1">
      <alignment horizontal="left" vertical="center"/>
    </xf>
    <xf numFmtId="1" fontId="34" fillId="0" borderId="0" xfId="0" applyNumberFormat="1" applyFont="1" applyFill="1" applyBorder="1" applyAlignment="1">
      <alignment/>
    </xf>
    <xf numFmtId="170" fontId="34" fillId="0" borderId="0" xfId="0" applyNumberFormat="1" applyFont="1" applyFill="1" applyBorder="1" applyAlignment="1">
      <alignment horizontal="center" vertical="center"/>
    </xf>
    <xf numFmtId="171" fontId="34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24" fillId="0" borderId="0" xfId="0" applyFont="1" applyFill="1" applyAlignment="1">
      <alignment vertical="top" wrapText="1"/>
    </xf>
    <xf numFmtId="0" fontId="34" fillId="0" borderId="62" xfId="0" applyFont="1" applyFill="1" applyBorder="1" applyAlignment="1">
      <alignment/>
    </xf>
    <xf numFmtId="0" fontId="34" fillId="0" borderId="28" xfId="0" applyFont="1" applyFill="1" applyBorder="1" applyAlignment="1">
      <alignment vertical="center"/>
    </xf>
    <xf numFmtId="0" fontId="34" fillId="0" borderId="37" xfId="0" applyFont="1" applyFill="1" applyBorder="1" applyAlignment="1">
      <alignment horizontal="left" vertical="center"/>
    </xf>
    <xf numFmtId="0" fontId="34" fillId="0" borderId="28" xfId="0" applyFont="1" applyFill="1" applyBorder="1" applyAlignment="1">
      <alignment horizontal="center"/>
    </xf>
    <xf numFmtId="0" fontId="34" fillId="0" borderId="37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/>
    </xf>
    <xf numFmtId="0" fontId="34" fillId="0" borderId="0" xfId="0" applyFont="1" applyFill="1" applyBorder="1" applyAlignment="1" quotePrefix="1">
      <alignment horizontal="center" vertical="center"/>
    </xf>
    <xf numFmtId="14" fontId="7" fillId="0" borderId="18" xfId="0" applyNumberFormat="1" applyFont="1" applyFill="1" applyBorder="1" applyAlignment="1" applyProtection="1">
      <alignment horizontal="center"/>
      <protection/>
    </xf>
    <xf numFmtId="191" fontId="34" fillId="0" borderId="0" xfId="0" applyNumberFormat="1" applyFont="1" applyBorder="1" applyAlignment="1">
      <alignment horizontal="left"/>
    </xf>
    <xf numFmtId="1" fontId="34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right" vertical="top"/>
      <protection/>
    </xf>
    <xf numFmtId="0" fontId="36" fillId="0" borderId="0" xfId="53" applyFont="1" applyAlignment="1" applyProtection="1">
      <alignment horizontal="right"/>
      <protection/>
    </xf>
    <xf numFmtId="0" fontId="34" fillId="0" borderId="12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18" xfId="0" applyFont="1" applyBorder="1" applyAlignment="1">
      <alignment/>
    </xf>
    <xf numFmtId="0" fontId="34" fillId="0" borderId="37" xfId="0" applyFont="1" applyBorder="1" applyAlignment="1">
      <alignment/>
    </xf>
    <xf numFmtId="0" fontId="34" fillId="0" borderId="16" xfId="0" applyFont="1" applyBorder="1" applyAlignment="1">
      <alignment horizontal="left"/>
    </xf>
    <xf numFmtId="0" fontId="34" fillId="0" borderId="5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0" fillId="45" borderId="0" xfId="0" applyFont="1" applyFill="1" applyAlignment="1">
      <alignment/>
    </xf>
    <xf numFmtId="0" fontId="0" fillId="45" borderId="0" xfId="0" applyFont="1" applyFill="1" applyAlignment="1">
      <alignment vertical="center"/>
    </xf>
    <xf numFmtId="0" fontId="80" fillId="45" borderId="0" xfId="0" applyFont="1" applyFill="1" applyAlignment="1">
      <alignment vertical="center"/>
    </xf>
    <xf numFmtId="191" fontId="80" fillId="45" borderId="0" xfId="0" applyNumberFormat="1" applyFont="1" applyFill="1" applyAlignment="1">
      <alignment vertical="center"/>
    </xf>
    <xf numFmtId="191" fontId="0" fillId="45" borderId="0" xfId="0" applyNumberFormat="1" applyFont="1" applyFill="1" applyAlignment="1">
      <alignment vertical="center"/>
    </xf>
    <xf numFmtId="2" fontId="0" fillId="45" borderId="0" xfId="0" applyNumberFormat="1" applyFont="1" applyFill="1" applyAlignment="1">
      <alignment vertical="center"/>
    </xf>
    <xf numFmtId="1" fontId="0" fillId="45" borderId="0" xfId="0" applyNumberFormat="1" applyFont="1" applyFill="1" applyAlignment="1">
      <alignment vertical="center"/>
    </xf>
    <xf numFmtId="2" fontId="34" fillId="0" borderId="23" xfId="0" applyNumberFormat="1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1" fontId="34" fillId="0" borderId="23" xfId="0" applyNumberFormat="1" applyFont="1" applyFill="1" applyBorder="1" applyAlignment="1">
      <alignment horizontal="center"/>
    </xf>
    <xf numFmtId="171" fontId="34" fillId="0" borderId="23" xfId="0" applyNumberFormat="1" applyFont="1" applyFill="1" applyBorder="1" applyAlignment="1">
      <alignment horizontal="center"/>
    </xf>
    <xf numFmtId="0" fontId="5" fillId="0" borderId="49" xfId="0" applyFont="1" applyFill="1" applyBorder="1" applyAlignment="1" applyProtection="1" quotePrefix="1">
      <alignment wrapText="1"/>
      <protection/>
    </xf>
    <xf numFmtId="0" fontId="34" fillId="0" borderId="0" xfId="0" applyFont="1" applyAlignment="1">
      <alignment horizontal="left" vertical="center" indent="1"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right" vertical="center" wrapText="1"/>
      <protection/>
    </xf>
    <xf numFmtId="0" fontId="24" fillId="0" borderId="49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30" fillId="0" borderId="0" xfId="0" applyFont="1" applyAlignment="1" applyProtection="1">
      <alignment horizontal="left" wrapText="1"/>
      <protection/>
    </xf>
    <xf numFmtId="0" fontId="30" fillId="0" borderId="21" xfId="0" applyFont="1" applyBorder="1" applyAlignment="1" applyProtection="1">
      <alignment horizontal="left" wrapText="1"/>
      <protection/>
    </xf>
    <xf numFmtId="0" fontId="30" fillId="0" borderId="0" xfId="0" applyFont="1" applyBorder="1" applyAlignment="1" applyProtection="1">
      <alignment horizontal="left" wrapText="1"/>
      <protection/>
    </xf>
    <xf numFmtId="0" fontId="5" fillId="44" borderId="18" xfId="0" applyNumberFormat="1" applyFont="1" applyFill="1" applyBorder="1" applyAlignment="1" applyProtection="1">
      <alignment horizontal="left"/>
      <protection locked="0"/>
    </xf>
    <xf numFmtId="0" fontId="5" fillId="44" borderId="37" xfId="0" applyNumberFormat="1" applyFont="1" applyFill="1" applyBorder="1" applyAlignment="1" applyProtection="1">
      <alignment horizontal="left"/>
      <protection locked="0"/>
    </xf>
    <xf numFmtId="0" fontId="3" fillId="0" borderId="24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 applyProtection="1">
      <alignment horizontal="center" vertical="center"/>
      <protection/>
    </xf>
    <xf numFmtId="0" fontId="15" fillId="0" borderId="55" xfId="0" applyFont="1" applyFill="1" applyBorder="1" applyAlignment="1" applyProtection="1">
      <alignment horizontal="center" vertical="center"/>
      <protection/>
    </xf>
    <xf numFmtId="0" fontId="15" fillId="0" borderId="47" xfId="0" applyFont="1" applyFill="1" applyBorder="1" applyAlignment="1" applyProtection="1">
      <alignment horizontal="center" vertical="center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/>
      <protection/>
    </xf>
    <xf numFmtId="0" fontId="3" fillId="0" borderId="72" xfId="0" applyFont="1" applyFill="1" applyBorder="1" applyAlignment="1" applyProtection="1">
      <alignment horizontal="center"/>
      <protection/>
    </xf>
    <xf numFmtId="0" fontId="3" fillId="0" borderId="4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5" fillId="44" borderId="94" xfId="0" applyNumberFormat="1" applyFont="1" applyFill="1" applyBorder="1" applyAlignment="1" applyProtection="1">
      <alignment horizontal="center"/>
      <protection locked="0"/>
    </xf>
    <xf numFmtId="0" fontId="5" fillId="44" borderId="95" xfId="0" applyNumberFormat="1" applyFont="1" applyFill="1" applyBorder="1" applyAlignment="1" applyProtection="1">
      <alignment horizontal="center"/>
      <protection locked="0"/>
    </xf>
    <xf numFmtId="0" fontId="5" fillId="41" borderId="13" xfId="0" applyFont="1" applyFill="1" applyBorder="1" applyAlignment="1" applyProtection="1">
      <alignment horizontal="left"/>
      <protection locked="0"/>
    </xf>
    <xf numFmtId="0" fontId="5" fillId="41" borderId="17" xfId="0" applyFont="1" applyFill="1" applyBorder="1" applyAlignment="1" applyProtection="1">
      <alignment horizontal="left"/>
      <protection locked="0"/>
    </xf>
    <xf numFmtId="0" fontId="5" fillId="41" borderId="69" xfId="0" applyFont="1" applyFill="1" applyBorder="1" applyAlignment="1" applyProtection="1">
      <alignment horizontal="left"/>
      <protection locked="0"/>
    </xf>
    <xf numFmtId="16" fontId="5" fillId="44" borderId="80" xfId="0" applyNumberFormat="1" applyFont="1" applyFill="1" applyBorder="1" applyAlignment="1" applyProtection="1">
      <alignment horizontal="center"/>
      <protection locked="0"/>
    </xf>
    <xf numFmtId="0" fontId="5" fillId="44" borderId="96" xfId="0" applyNumberFormat="1" applyFont="1" applyFill="1" applyBorder="1" applyAlignment="1" applyProtection="1">
      <alignment horizontal="center"/>
      <protection locked="0"/>
    </xf>
    <xf numFmtId="0" fontId="5" fillId="44" borderId="80" xfId="0" applyNumberFormat="1" applyFont="1" applyFill="1" applyBorder="1" applyAlignment="1" applyProtection="1">
      <alignment horizontal="center"/>
      <protection locked="0"/>
    </xf>
    <xf numFmtId="0" fontId="1" fillId="0" borderId="41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5" fillId="44" borderId="62" xfId="0" applyNumberFormat="1" applyFont="1" applyFill="1" applyBorder="1" applyAlignment="1" applyProtection="1">
      <alignment horizontal="center"/>
      <protection locked="0"/>
    </xf>
    <xf numFmtId="0" fontId="5" fillId="44" borderId="97" xfId="0" applyNumberFormat="1" applyFont="1" applyFill="1" applyBorder="1" applyAlignment="1" applyProtection="1">
      <alignment horizontal="center"/>
      <protection locked="0"/>
    </xf>
    <xf numFmtId="0" fontId="16" fillId="0" borderId="4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5" fillId="41" borderId="62" xfId="0" applyFont="1" applyFill="1" applyBorder="1" applyAlignment="1" applyProtection="1">
      <alignment horizontal="left"/>
      <protection locked="0"/>
    </xf>
    <xf numFmtId="0" fontId="5" fillId="41" borderId="28" xfId="0" applyFont="1" applyFill="1" applyBorder="1" applyAlignment="1" applyProtection="1">
      <alignment horizontal="left"/>
      <protection locked="0"/>
    </xf>
    <xf numFmtId="0" fontId="5" fillId="41" borderId="23" xfId="0" applyFont="1" applyFill="1" applyBorder="1" applyAlignment="1" applyProtection="1">
      <alignment horizontal="left"/>
      <protection locked="0"/>
    </xf>
    <xf numFmtId="171" fontId="3" fillId="0" borderId="30" xfId="0" applyNumberFormat="1" applyFont="1" applyFill="1" applyBorder="1" applyAlignment="1" applyProtection="1">
      <alignment horizontal="center" vertical="center"/>
      <protection/>
    </xf>
    <xf numFmtId="171" fontId="3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left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left"/>
      <protection/>
    </xf>
    <xf numFmtId="0" fontId="5" fillId="0" borderId="33" xfId="0" applyFont="1" applyFill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left"/>
      <protection/>
    </xf>
    <xf numFmtId="0" fontId="34" fillId="0" borderId="0" xfId="0" applyFont="1" applyBorder="1" applyAlignment="1">
      <alignment horizontal="center"/>
    </xf>
    <xf numFmtId="0" fontId="34" fillId="0" borderId="0" xfId="0" applyFont="1" applyFill="1" applyBorder="1" applyAlignment="1" applyProtection="1">
      <alignment horizontal="left"/>
      <protection/>
    </xf>
    <xf numFmtId="0" fontId="34" fillId="0" borderId="0" xfId="0" applyFont="1" applyFill="1" applyBorder="1" applyAlignment="1">
      <alignment horizontal="left"/>
    </xf>
    <xf numFmtId="0" fontId="34" fillId="0" borderId="18" xfId="0" applyFont="1" applyFill="1" applyBorder="1" applyAlignment="1">
      <alignment horizontal="left"/>
    </xf>
    <xf numFmtId="0" fontId="17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0" fontId="21" fillId="0" borderId="48" xfId="0" applyFont="1" applyFill="1" applyBorder="1" applyAlignment="1" quotePrefix="1">
      <alignment horizontal="center" vertical="center"/>
    </xf>
    <xf numFmtId="0" fontId="21" fillId="0" borderId="51" xfId="0" applyFont="1" applyFill="1" applyBorder="1" applyAlignment="1" quotePrefix="1">
      <alignment horizontal="center" vertical="center"/>
    </xf>
    <xf numFmtId="0" fontId="22" fillId="40" borderId="54" xfId="0" applyFont="1" applyFill="1" applyBorder="1" applyAlignment="1">
      <alignment horizontal="center" vertical="center"/>
    </xf>
    <xf numFmtId="0" fontId="22" fillId="40" borderId="46" xfId="0" applyFont="1" applyFill="1" applyBorder="1" applyAlignment="1">
      <alignment horizontal="center" vertical="center"/>
    </xf>
    <xf numFmtId="0" fontId="22" fillId="40" borderId="55" xfId="0" applyFont="1" applyFill="1" applyBorder="1" applyAlignment="1">
      <alignment horizontal="center" vertical="center"/>
    </xf>
    <xf numFmtId="0" fontId="22" fillId="40" borderId="47" xfId="0" applyFont="1" applyFill="1" applyBorder="1" applyAlignment="1">
      <alignment horizontal="center" vertical="center"/>
    </xf>
    <xf numFmtId="0" fontId="1" fillId="44" borderId="48" xfId="0" applyFont="1" applyFill="1" applyBorder="1" applyAlignment="1" applyProtection="1">
      <alignment horizontal="center" vertical="center"/>
      <protection locked="0"/>
    </xf>
    <xf numFmtId="0" fontId="1" fillId="44" borderId="92" xfId="0" applyFont="1" applyFill="1" applyBorder="1" applyAlignment="1" applyProtection="1">
      <alignment horizontal="center" vertical="center"/>
      <protection locked="0"/>
    </xf>
    <xf numFmtId="0" fontId="1" fillId="44" borderId="84" xfId="0" applyFont="1" applyFill="1" applyBorder="1" applyAlignment="1" applyProtection="1">
      <alignment horizontal="center" vertical="center"/>
      <protection locked="0"/>
    </xf>
    <xf numFmtId="0" fontId="1" fillId="44" borderId="65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b/>
        <i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142875</xdr:colOff>
      <xdr:row>11</xdr:row>
      <xdr:rowOff>123825</xdr:rowOff>
    </xdr:from>
    <xdr:to>
      <xdr:col>10</xdr:col>
      <xdr:colOff>0</xdr:colOff>
      <xdr:row>13</xdr:row>
      <xdr:rowOff>123825</xdr:rowOff>
    </xdr:to>
    <xdr:pic>
      <xdr:nvPicPr>
        <xdr:cNvPr id="1" name="Picture 2" descr="IDOT 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2638425"/>
          <a:ext cx="16954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T.PCCMIX@Illinois.gov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showGridLines="0" showRowColHeaders="0" tabSelected="1" zoomScalePageLayoutView="0" workbookViewId="0" topLeftCell="A1">
      <selection activeCell="D3" sqref="D3"/>
    </sheetView>
  </sheetViews>
  <sheetFormatPr defaultColWidth="8.796875" defaultRowHeight="15.75"/>
  <cols>
    <col min="1" max="1" width="7.69921875" style="3" customWidth="1"/>
    <col min="2" max="2" width="10.69921875" style="3" customWidth="1"/>
    <col min="3" max="3" width="9.09765625" style="3" customWidth="1"/>
    <col min="4" max="4" width="17.69921875" style="3" customWidth="1"/>
    <col min="5" max="5" width="3.69921875" style="3" customWidth="1"/>
    <col min="6" max="7" width="8.796875" style="3" customWidth="1"/>
    <col min="8" max="8" width="1.69921875" style="3" customWidth="1"/>
    <col min="9" max="11" width="8.796875" style="3" customWidth="1"/>
    <col min="12" max="15" width="8.796875" style="3" hidden="1" customWidth="1"/>
    <col min="16" max="16" width="4.796875" style="3" hidden="1" customWidth="1"/>
    <col min="17" max="26" width="8.796875" style="3" hidden="1" customWidth="1"/>
    <col min="27" max="27" width="2.69921875" style="3" hidden="1" customWidth="1"/>
    <col min="28" max="30" width="8.796875" style="3" hidden="1" customWidth="1"/>
    <col min="31" max="16384" width="8.796875" style="3" customWidth="1"/>
  </cols>
  <sheetData>
    <row r="1" spans="1:28" ht="18" customHeight="1">
      <c r="A1" s="343" t="s">
        <v>299</v>
      </c>
      <c r="B1" s="552" t="s">
        <v>298</v>
      </c>
      <c r="C1" s="21"/>
      <c r="D1" s="21"/>
      <c r="E1" s="21"/>
      <c r="F1" s="21"/>
      <c r="G1" s="21"/>
      <c r="H1" s="21"/>
      <c r="I1" s="21"/>
      <c r="J1" s="315" t="s">
        <v>548</v>
      </c>
      <c r="K1" s="21"/>
      <c r="L1" s="3" t="s">
        <v>61</v>
      </c>
      <c r="W1" s="3" t="s">
        <v>195</v>
      </c>
      <c r="Y1" s="3" t="s">
        <v>194</v>
      </c>
      <c r="AB1" s="3" t="s">
        <v>197</v>
      </c>
    </row>
    <row r="2" spans="2:30" ht="18" customHeight="1" thickBot="1">
      <c r="B2" s="552"/>
      <c r="C2" s="21"/>
      <c r="D2" s="21"/>
      <c r="J2" s="316"/>
      <c r="K2" s="21"/>
      <c r="L2" s="48">
        <v>1</v>
      </c>
      <c r="O2" s="3" t="s">
        <v>20</v>
      </c>
      <c r="W2" s="6" t="s">
        <v>230</v>
      </c>
      <c r="X2" s="276">
        <v>2</v>
      </c>
      <c r="Y2" s="6" t="s">
        <v>196</v>
      </c>
      <c r="Z2" s="276">
        <v>10</v>
      </c>
      <c r="AA2" s="184">
        <v>1</v>
      </c>
      <c r="AB2" s="6" t="s">
        <v>231</v>
      </c>
      <c r="AC2" s="47">
        <v>2</v>
      </c>
      <c r="AD2" s="337">
        <f ca="1">TODAY()</f>
        <v>45082</v>
      </c>
    </row>
    <row r="3" spans="1:29" ht="18" customHeight="1">
      <c r="A3" s="343" t="s">
        <v>248</v>
      </c>
      <c r="B3" s="308" t="s">
        <v>547</v>
      </c>
      <c r="C3" s="79"/>
      <c r="D3" s="225" t="s">
        <v>549</v>
      </c>
      <c r="E3" s="17"/>
      <c r="F3" s="376"/>
      <c r="G3" s="376"/>
      <c r="H3" s="377" t="s">
        <v>281</v>
      </c>
      <c r="I3" s="376"/>
      <c r="J3" s="376"/>
      <c r="O3" s="3" t="str">
        <f>P3&amp;P4&amp;P5&amp;P6&amp;P7&amp;P8&amp;P9&amp;P10&amp;P11</f>
        <v>PV </v>
      </c>
      <c r="P3" s="130" t="str">
        <f>IF(Q3=TRUE,"PV ","")</f>
        <v>PV </v>
      </c>
      <c r="Q3" s="375" t="b">
        <v>1</v>
      </c>
      <c r="W3" s="277" t="s">
        <v>198</v>
      </c>
      <c r="X3" s="280" t="str">
        <f>IF(X2&lt;=1,"",IF(X2&gt;10,X2-1,"0"&amp;(X2-1)))</f>
        <v>01</v>
      </c>
      <c r="Y3" s="277" t="s">
        <v>198</v>
      </c>
      <c r="Z3" s="280" t="str">
        <f>IF(Z2&lt;=1,"",IF(Z2&gt;11,Z2-1,"0"&amp;(Z2-1)))</f>
        <v>09</v>
      </c>
      <c r="AA3" s="184">
        <v>2</v>
      </c>
      <c r="AB3" s="9">
        <f>YEAR(AD2)</f>
        <v>2023</v>
      </c>
      <c r="AC3" s="4">
        <f>LOOKUP(AC2,AA2:AA13,AB2:AB13)</f>
        <v>2023</v>
      </c>
    </row>
    <row r="4" spans="2:29" ht="18" customHeight="1">
      <c r="B4" s="309" t="s">
        <v>250</v>
      </c>
      <c r="C4" s="272"/>
      <c r="D4" s="362" t="s">
        <v>523</v>
      </c>
      <c r="F4" s="376"/>
      <c r="G4" s="376"/>
      <c r="H4" s="377" t="s">
        <v>282</v>
      </c>
      <c r="I4" s="376"/>
      <c r="J4" s="376"/>
      <c r="K4" s="17"/>
      <c r="L4" s="87"/>
      <c r="P4" s="130">
        <f>IF(Q4=TRUE,"PP ","")</f>
      </c>
      <c r="Q4" s="375" t="b">
        <v>0</v>
      </c>
      <c r="W4" s="277" t="s">
        <v>199</v>
      </c>
      <c r="X4" s="17"/>
      <c r="Y4" s="277" t="s">
        <v>199</v>
      </c>
      <c r="Z4" s="17"/>
      <c r="AA4" s="184">
        <v>3</v>
      </c>
      <c r="AB4" s="336">
        <f>AB3+1</f>
        <v>2024</v>
      </c>
      <c r="AC4" s="281" t="str">
        <f>IF(AC3&lt;2004,"",RIGHT(AC3,2))</f>
        <v>23</v>
      </c>
    </row>
    <row r="5" spans="2:29" ht="18" customHeight="1">
      <c r="B5" s="310" t="s">
        <v>191</v>
      </c>
      <c r="C5" s="80"/>
      <c r="D5" s="282"/>
      <c r="E5" s="17"/>
      <c r="F5" s="376"/>
      <c r="G5" s="376"/>
      <c r="H5" s="377" t="s">
        <v>283</v>
      </c>
      <c r="I5" s="376"/>
      <c r="J5" s="376"/>
      <c r="K5" s="17"/>
      <c r="P5" s="130">
        <f>IF(Q5=TRUE,"RR ","")</f>
      </c>
      <c r="Q5" s="375" t="b">
        <v>0</v>
      </c>
      <c r="U5" s="275"/>
      <c r="W5" s="277" t="s">
        <v>200</v>
      </c>
      <c r="X5" s="17"/>
      <c r="Y5" s="277" t="s">
        <v>200</v>
      </c>
      <c r="Z5" s="17"/>
      <c r="AA5" s="184">
        <v>4</v>
      </c>
      <c r="AB5" s="336">
        <f aca="true" t="shared" si="0" ref="AB5:AB13">AB4+1</f>
        <v>2025</v>
      </c>
      <c r="AC5" s="4"/>
    </row>
    <row r="6" spans="2:29" ht="18" customHeight="1">
      <c r="B6" s="309" t="s">
        <v>159</v>
      </c>
      <c r="C6" s="81"/>
      <c r="D6" s="194"/>
      <c r="E6" s="17"/>
      <c r="F6" s="234"/>
      <c r="G6" s="234"/>
      <c r="H6" s="234"/>
      <c r="I6" s="234"/>
      <c r="J6" s="234"/>
      <c r="K6" s="17"/>
      <c r="P6" s="130">
        <f>IF(Q6=TRUE,"BS ","")</f>
      </c>
      <c r="Q6" s="48" t="b">
        <v>0</v>
      </c>
      <c r="W6" s="277" t="s">
        <v>201</v>
      </c>
      <c r="X6" s="17"/>
      <c r="Y6" s="277" t="s">
        <v>201</v>
      </c>
      <c r="Z6" s="17"/>
      <c r="AA6" s="184">
        <v>5</v>
      </c>
      <c r="AB6" s="336">
        <f t="shared" si="0"/>
        <v>2026</v>
      </c>
      <c r="AC6" s="4"/>
    </row>
    <row r="7" spans="2:29" ht="18" customHeight="1">
      <c r="B7" s="378" t="s">
        <v>300</v>
      </c>
      <c r="C7" s="37"/>
      <c r="D7" s="373"/>
      <c r="E7" s="17"/>
      <c r="F7" s="37"/>
      <c r="H7" s="17"/>
      <c r="I7" s="17"/>
      <c r="J7" s="550" t="s">
        <v>564</v>
      </c>
      <c r="K7" s="17"/>
      <c r="P7" s="130">
        <f>IF(Q7=TRUE,"DS ","")</f>
      </c>
      <c r="Q7" s="48" t="b">
        <v>0</v>
      </c>
      <c r="W7" s="277" t="s">
        <v>202</v>
      </c>
      <c r="X7" s="17"/>
      <c r="Y7" s="277" t="s">
        <v>202</v>
      </c>
      <c r="Z7" s="17"/>
      <c r="AA7" s="184">
        <v>6</v>
      </c>
      <c r="AB7" s="336">
        <f t="shared" si="0"/>
        <v>2027</v>
      </c>
      <c r="AC7" s="4"/>
    </row>
    <row r="8" spans="2:29" ht="18" customHeight="1">
      <c r="B8" s="372"/>
      <c r="C8" s="234"/>
      <c r="D8" s="374"/>
      <c r="E8" s="17"/>
      <c r="F8" s="37"/>
      <c r="G8" s="549"/>
      <c r="H8" s="17"/>
      <c r="I8" s="17"/>
      <c r="J8" s="551" t="s">
        <v>561</v>
      </c>
      <c r="K8" s="17"/>
      <c r="P8" s="130">
        <f>IF(Q8=TRUE,"SC ","")</f>
      </c>
      <c r="Q8" s="48" t="b">
        <v>0</v>
      </c>
      <c r="W8" s="277" t="s">
        <v>203</v>
      </c>
      <c r="X8" s="17"/>
      <c r="Y8" s="277" t="s">
        <v>203</v>
      </c>
      <c r="Z8" s="17"/>
      <c r="AA8" s="184">
        <v>7</v>
      </c>
      <c r="AB8" s="336">
        <f t="shared" si="0"/>
        <v>2028</v>
      </c>
      <c r="AC8" s="4"/>
    </row>
    <row r="9" spans="2:29" ht="18" customHeight="1">
      <c r="B9" s="372"/>
      <c r="C9" s="234"/>
      <c r="D9" s="374"/>
      <c r="E9" s="17"/>
      <c r="F9" s="37"/>
      <c r="H9" s="17"/>
      <c r="I9" s="17"/>
      <c r="J9" s="551" t="s">
        <v>562</v>
      </c>
      <c r="K9" s="17"/>
      <c r="L9" s="87"/>
      <c r="P9" s="130">
        <f>IF(Q9=TRUE,"SI ","")</f>
      </c>
      <c r="Q9" s="48" t="b">
        <v>0</v>
      </c>
      <c r="W9" s="277" t="s">
        <v>204</v>
      </c>
      <c r="X9" s="17"/>
      <c r="Y9" s="277" t="s">
        <v>204</v>
      </c>
      <c r="Z9" s="17"/>
      <c r="AA9" s="184">
        <v>8</v>
      </c>
      <c r="AB9" s="336">
        <f t="shared" si="0"/>
        <v>2029</v>
      </c>
      <c r="AC9" s="4"/>
    </row>
    <row r="10" spans="2:29" ht="18" customHeight="1">
      <c r="B10" s="372"/>
      <c r="C10" s="17"/>
      <c r="D10" s="374"/>
      <c r="E10" s="17"/>
      <c r="F10" s="37"/>
      <c r="H10" s="17"/>
      <c r="I10" s="22"/>
      <c r="J10" s="551" t="s">
        <v>563</v>
      </c>
      <c r="K10" s="17"/>
      <c r="L10" s="87"/>
      <c r="P10" s="130">
        <f>IF(Q10=TRUE,"PC ","")</f>
      </c>
      <c r="Q10" s="48" t="b">
        <v>0</v>
      </c>
      <c r="W10" s="277" t="s">
        <v>205</v>
      </c>
      <c r="X10" s="17"/>
      <c r="Y10" s="277" t="s">
        <v>205</v>
      </c>
      <c r="Z10" s="17"/>
      <c r="AA10" s="184">
        <v>9</v>
      </c>
      <c r="AB10" s="336">
        <f t="shared" si="0"/>
        <v>2030</v>
      </c>
      <c r="AC10" s="4"/>
    </row>
    <row r="11" spans="2:29" ht="18" customHeight="1">
      <c r="B11" s="372"/>
      <c r="C11" s="234"/>
      <c r="D11" s="83"/>
      <c r="E11" s="17"/>
      <c r="F11" s="37"/>
      <c r="H11" s="17"/>
      <c r="I11" s="22"/>
      <c r="J11" s="22"/>
      <c r="K11" s="17"/>
      <c r="L11" s="87"/>
      <c r="P11" s="130">
        <f>IF(Q11=TRUE,"PS ","")</f>
      </c>
      <c r="Q11" s="48" t="b">
        <v>0</v>
      </c>
      <c r="W11" s="277" t="s">
        <v>206</v>
      </c>
      <c r="X11" s="17"/>
      <c r="Y11" s="277" t="s">
        <v>206</v>
      </c>
      <c r="Z11" s="17"/>
      <c r="AA11" s="184">
        <v>10</v>
      </c>
      <c r="AB11" s="336">
        <f t="shared" si="0"/>
        <v>2031</v>
      </c>
      <c r="AC11" s="4"/>
    </row>
    <row r="12" spans="2:29" ht="18" customHeight="1">
      <c r="B12" s="146"/>
      <c r="C12" s="17"/>
      <c r="D12" s="194"/>
      <c r="E12" s="17"/>
      <c r="F12" s="37"/>
      <c r="G12" s="37"/>
      <c r="H12" s="17"/>
      <c r="I12" s="306"/>
      <c r="J12" s="306"/>
      <c r="K12" s="17"/>
      <c r="R12" s="130" t="str">
        <f>IF(R13&gt;1,LEFT(LOOKUP(R13,P13:Q41),5),"")</f>
        <v>21605</v>
      </c>
      <c r="W12" s="277" t="s">
        <v>207</v>
      </c>
      <c r="X12" s="17"/>
      <c r="Y12" s="277" t="s">
        <v>207</v>
      </c>
      <c r="Z12" s="17"/>
      <c r="AA12" s="184">
        <v>11</v>
      </c>
      <c r="AB12" s="336">
        <f t="shared" si="0"/>
        <v>2032</v>
      </c>
      <c r="AC12" s="4"/>
    </row>
    <row r="13" spans="2:29" ht="18" customHeight="1">
      <c r="B13" s="309" t="s">
        <v>182</v>
      </c>
      <c r="C13" s="322"/>
      <c r="D13" s="472"/>
      <c r="E13" s="17"/>
      <c r="F13" s="37"/>
      <c r="G13" s="37"/>
      <c r="H13" s="17"/>
      <c r="I13" s="306"/>
      <c r="J13" s="306"/>
      <c r="K13" s="17"/>
      <c r="L13" s="6" t="s">
        <v>77</v>
      </c>
      <c r="M13" s="47">
        <v>4</v>
      </c>
      <c r="P13" s="367">
        <v>1</v>
      </c>
      <c r="Q13" s="6" t="s">
        <v>77</v>
      </c>
      <c r="R13" s="276">
        <v>3</v>
      </c>
      <c r="S13" s="467"/>
      <c r="T13" s="6"/>
      <c r="U13" s="7"/>
      <c r="V13" s="47"/>
      <c r="W13" s="468" t="s">
        <v>208</v>
      </c>
      <c r="X13" s="17"/>
      <c r="Y13" s="277" t="s">
        <v>208</v>
      </c>
      <c r="Z13" s="17"/>
      <c r="AA13" s="184">
        <v>12</v>
      </c>
      <c r="AB13" s="339">
        <f t="shared" si="0"/>
        <v>2033</v>
      </c>
      <c r="AC13" s="5"/>
    </row>
    <row r="14" spans="1:29" ht="18" customHeight="1">
      <c r="A14" s="44"/>
      <c r="B14" s="146"/>
      <c r="C14" s="312" t="s">
        <v>512</v>
      </c>
      <c r="D14" s="226" t="s">
        <v>550</v>
      </c>
      <c r="E14" s="17"/>
      <c r="F14" s="37"/>
      <c r="G14" s="37"/>
      <c r="H14" s="17"/>
      <c r="L14" s="9" t="s">
        <v>382</v>
      </c>
      <c r="M14" s="11"/>
      <c r="P14" s="368">
        <v>2</v>
      </c>
      <c r="Q14" s="9" t="str">
        <f aca="true" t="shared" si="1" ref="Q14:Q30">IF(Units=1,S14,T14)</f>
        <v>21601 - PCC Cement Only</v>
      </c>
      <c r="R14" s="37"/>
      <c r="S14" s="184" t="s">
        <v>317</v>
      </c>
      <c r="T14" s="9" t="s">
        <v>301</v>
      </c>
      <c r="U14" s="17"/>
      <c r="V14" s="4"/>
      <c r="W14" s="469" t="s">
        <v>209</v>
      </c>
      <c r="X14" s="19"/>
      <c r="Y14" s="277" t="s">
        <v>209</v>
      </c>
      <c r="Z14" s="4"/>
      <c r="AB14" s="338"/>
      <c r="AC14" s="279" t="str">
        <f>IF(OR(X2=1,Z2=1,AC2=1),"",X3&amp;"/"&amp;Z3&amp;"/"&amp;AC4)</f>
        <v>01/09/23</v>
      </c>
    </row>
    <row r="15" spans="2:27" ht="18" customHeight="1">
      <c r="B15" s="155"/>
      <c r="C15" s="313" t="s">
        <v>177</v>
      </c>
      <c r="D15" s="227" t="s">
        <v>551</v>
      </c>
      <c r="G15" s="244"/>
      <c r="H15" s="244"/>
      <c r="I15" s="244"/>
      <c r="J15" s="245" t="s">
        <v>279</v>
      </c>
      <c r="L15" s="9" t="s">
        <v>44</v>
      </c>
      <c r="M15" s="11"/>
      <c r="P15" s="368">
        <v>3</v>
      </c>
      <c r="Q15" s="9" t="str">
        <f t="shared" si="1"/>
        <v>21605 - PCC Cement &amp; Fly Ash</v>
      </c>
      <c r="R15" s="17"/>
      <c r="S15" s="184" t="s">
        <v>318</v>
      </c>
      <c r="T15" s="9" t="s">
        <v>302</v>
      </c>
      <c r="U15" s="17"/>
      <c r="V15" s="4"/>
      <c r="Y15" s="277" t="s">
        <v>210</v>
      </c>
      <c r="Z15" s="4"/>
      <c r="AA15" s="338"/>
    </row>
    <row r="16" spans="2:27" ht="18" customHeight="1">
      <c r="B16" s="311" t="s">
        <v>258</v>
      </c>
      <c r="C16" s="365" t="s">
        <v>68</v>
      </c>
      <c r="D16" s="228" t="s">
        <v>514</v>
      </c>
      <c r="H16" s="244"/>
      <c r="I16" s="244"/>
      <c r="J16" s="528" t="s">
        <v>280</v>
      </c>
      <c r="L16" s="10" t="s">
        <v>45</v>
      </c>
      <c r="M16" s="11"/>
      <c r="P16" s="367">
        <v>4</v>
      </c>
      <c r="Q16" s="9" t="str">
        <f t="shared" si="1"/>
        <v>21606 - PCC Cement &amp; Latex</v>
      </c>
      <c r="R16" s="17"/>
      <c r="S16" s="184" t="s">
        <v>319</v>
      </c>
      <c r="T16" s="9" t="s">
        <v>303</v>
      </c>
      <c r="U16" s="17"/>
      <c r="V16" s="4"/>
      <c r="Y16" s="277" t="s">
        <v>211</v>
      </c>
      <c r="Z16" s="4"/>
      <c r="AA16" s="338"/>
    </row>
    <row r="17" spans="2:27" ht="18" customHeight="1">
      <c r="B17" s="146"/>
      <c r="C17" s="312" t="s">
        <v>153</v>
      </c>
      <c r="D17" s="228" t="s">
        <v>515</v>
      </c>
      <c r="E17" s="17"/>
      <c r="G17" s="244"/>
      <c r="J17" s="245" t="s">
        <v>363</v>
      </c>
      <c r="K17" s="307"/>
      <c r="L17" s="10" t="s">
        <v>46</v>
      </c>
      <c r="M17" s="11"/>
      <c r="P17" s="368">
        <v>5</v>
      </c>
      <c r="Q17" s="9" t="str">
        <f t="shared" si="1"/>
        <v>21609 - PCC Cement &amp; Microsilica</v>
      </c>
      <c r="R17" s="17"/>
      <c r="S17" s="184" t="s">
        <v>320</v>
      </c>
      <c r="T17" s="9" t="s">
        <v>304</v>
      </c>
      <c r="U17" s="17"/>
      <c r="V17" s="4"/>
      <c r="Y17" s="277" t="s">
        <v>212</v>
      </c>
      <c r="Z17" s="4"/>
      <c r="AA17" s="338"/>
    </row>
    <row r="18" spans="2:27" ht="18" customHeight="1">
      <c r="B18" s="155"/>
      <c r="C18" s="313" t="s">
        <v>154</v>
      </c>
      <c r="D18" s="502" t="s">
        <v>516</v>
      </c>
      <c r="E18" s="17"/>
      <c r="J18" s="528" t="s">
        <v>381</v>
      </c>
      <c r="L18" s="10" t="s">
        <v>47</v>
      </c>
      <c r="M18" s="11"/>
      <c r="P18" s="368">
        <v>6</v>
      </c>
      <c r="Q18" s="9" t="str">
        <f t="shared" si="1"/>
        <v>21611 - PCC Cement &amp; GGBF Slag</v>
      </c>
      <c r="R18" s="17"/>
      <c r="S18" s="184" t="s">
        <v>321</v>
      </c>
      <c r="T18" s="9" t="s">
        <v>305</v>
      </c>
      <c r="U18" s="17"/>
      <c r="V18" s="4"/>
      <c r="Y18" s="277" t="s">
        <v>213</v>
      </c>
      <c r="Z18" s="4"/>
      <c r="AA18" s="338"/>
    </row>
    <row r="19" spans="1:27" ht="18" customHeight="1">
      <c r="A19" s="210"/>
      <c r="B19" s="311" t="s">
        <v>66</v>
      </c>
      <c r="C19" s="314" t="s">
        <v>67</v>
      </c>
      <c r="D19" s="228" t="s">
        <v>552</v>
      </c>
      <c r="E19" s="17"/>
      <c r="G19" s="244"/>
      <c r="J19" s="245" t="s">
        <v>529</v>
      </c>
      <c r="L19" s="10" t="s">
        <v>48</v>
      </c>
      <c r="M19" s="11"/>
      <c r="P19" s="367">
        <v>7</v>
      </c>
      <c r="Q19" s="9" t="str">
        <f t="shared" si="1"/>
        <v>21613 - PCC Cement &amp; Metakaolin</v>
      </c>
      <c r="R19" s="17"/>
      <c r="S19" s="184" t="s">
        <v>322</v>
      </c>
      <c r="T19" s="9" t="s">
        <v>306</v>
      </c>
      <c r="U19" s="17"/>
      <c r="V19" s="4"/>
      <c r="Y19" s="277" t="s">
        <v>214</v>
      </c>
      <c r="Z19" s="4"/>
      <c r="AA19" s="338"/>
    </row>
    <row r="20" spans="2:26" ht="18" customHeight="1" thickBot="1">
      <c r="B20" s="473"/>
      <c r="C20" s="474" t="s">
        <v>68</v>
      </c>
      <c r="D20" s="475" t="s">
        <v>553</v>
      </c>
      <c r="E20" s="147"/>
      <c r="F20" s="247"/>
      <c r="H20" s="17"/>
      <c r="I20" s="303"/>
      <c r="J20" s="529" t="s">
        <v>278</v>
      </c>
      <c r="L20" s="10" t="s">
        <v>49</v>
      </c>
      <c r="M20" s="11"/>
      <c r="P20" s="368">
        <v>8</v>
      </c>
      <c r="Q20" s="9" t="str">
        <f t="shared" si="1"/>
        <v>21614 - PCC Cement &amp; Fly Ash &amp; Metakaolin</v>
      </c>
      <c r="R20" s="17"/>
      <c r="S20" s="184" t="s">
        <v>323</v>
      </c>
      <c r="T20" s="9" t="s">
        <v>307</v>
      </c>
      <c r="U20" s="17"/>
      <c r="V20" s="4"/>
      <c r="Y20" s="277" t="s">
        <v>215</v>
      </c>
      <c r="Z20" s="4"/>
    </row>
    <row r="21" spans="1:26" ht="18" customHeight="1">
      <c r="A21" s="44"/>
      <c r="J21" s="246"/>
      <c r="L21" s="10" t="s">
        <v>50</v>
      </c>
      <c r="M21" s="11"/>
      <c r="P21" s="368">
        <v>9</v>
      </c>
      <c r="Q21" s="9" t="str">
        <f t="shared" si="1"/>
        <v>21620 - GROUT Revetment Mat</v>
      </c>
      <c r="R21" s="17"/>
      <c r="S21" s="184" t="s">
        <v>291</v>
      </c>
      <c r="T21" s="9" t="s">
        <v>290</v>
      </c>
      <c r="U21" s="17"/>
      <c r="V21" s="4"/>
      <c r="Y21" s="277" t="s">
        <v>216</v>
      </c>
      <c r="Z21" s="4"/>
    </row>
    <row r="22" spans="12:26" ht="18" customHeight="1">
      <c r="L22" s="10" t="s">
        <v>51</v>
      </c>
      <c r="M22" s="11"/>
      <c r="N22" s="8"/>
      <c r="O22" s="17"/>
      <c r="P22" s="367">
        <v>10</v>
      </c>
      <c r="Q22" s="9" t="str">
        <f t="shared" si="1"/>
        <v>21621 - GROUT CLSM</v>
      </c>
      <c r="R22" s="17"/>
      <c r="S22" s="184" t="s">
        <v>261</v>
      </c>
      <c r="T22" s="9" t="s">
        <v>262</v>
      </c>
      <c r="U22" s="17"/>
      <c r="V22" s="4"/>
      <c r="Y22" s="277" t="s">
        <v>217</v>
      </c>
      <c r="Z22" s="4"/>
    </row>
    <row r="23" spans="10:26" ht="19.5" customHeight="1">
      <c r="J23" s="304"/>
      <c r="L23" s="10" t="s">
        <v>52</v>
      </c>
      <c r="M23" s="11"/>
      <c r="N23" s="8"/>
      <c r="O23" s="17"/>
      <c r="P23" s="368">
        <v>11</v>
      </c>
      <c r="Q23" s="9" t="str">
        <f t="shared" si="1"/>
        <v>21622 - PCC Cement &amp; Fly Ash &amp; Microsilica</v>
      </c>
      <c r="R23" s="17"/>
      <c r="S23" s="184" t="s">
        <v>324</v>
      </c>
      <c r="T23" s="9" t="s">
        <v>308</v>
      </c>
      <c r="U23" s="17"/>
      <c r="V23" s="4"/>
      <c r="Y23" s="277" t="s">
        <v>218</v>
      </c>
      <c r="Z23" s="4"/>
    </row>
    <row r="24" spans="9:26" ht="15">
      <c r="I24" s="305"/>
      <c r="J24" s="304"/>
      <c r="L24" s="13" t="s">
        <v>53</v>
      </c>
      <c r="M24" s="14"/>
      <c r="P24" s="368">
        <v>12</v>
      </c>
      <c r="Q24" s="9" t="str">
        <f t="shared" si="1"/>
        <v>21627 - PCC Cement &amp; GGBF Slag &amp; Microsilica</v>
      </c>
      <c r="R24" s="17"/>
      <c r="S24" s="184" t="s">
        <v>325</v>
      </c>
      <c r="T24" s="9" t="s">
        <v>309</v>
      </c>
      <c r="U24" s="17"/>
      <c r="V24" s="4"/>
      <c r="Y24" s="277" t="s">
        <v>219</v>
      </c>
      <c r="Z24" s="4"/>
    </row>
    <row r="25" spans="15:26" ht="15">
      <c r="O25" s="17"/>
      <c r="P25" s="367">
        <v>13</v>
      </c>
      <c r="Q25" s="9" t="str">
        <f t="shared" si="1"/>
        <v>21628 - PCC Cement &amp; Fly Ash &amp; GGBF Slag &amp; Microsilica</v>
      </c>
      <c r="R25" s="17"/>
      <c r="S25" s="184" t="s">
        <v>326</v>
      </c>
      <c r="T25" s="9" t="s">
        <v>310</v>
      </c>
      <c r="U25" s="17"/>
      <c r="V25" s="4"/>
      <c r="Y25" s="277" t="s">
        <v>220</v>
      </c>
      <c r="Z25" s="4"/>
    </row>
    <row r="26" spans="15:26" ht="15">
      <c r="O26" s="17"/>
      <c r="P26" s="368">
        <v>14</v>
      </c>
      <c r="Q26" s="9" t="str">
        <f t="shared" si="1"/>
        <v>21629 - PCC Cement &amp; GGBF Slag &amp; Metakaolin</v>
      </c>
      <c r="R26" s="17"/>
      <c r="S26" s="184" t="s">
        <v>327</v>
      </c>
      <c r="T26" s="9" t="s">
        <v>311</v>
      </c>
      <c r="U26" s="17"/>
      <c r="V26" s="4"/>
      <c r="Y26" s="277" t="s">
        <v>221</v>
      </c>
      <c r="Z26" s="4"/>
    </row>
    <row r="27" spans="15:26" ht="15">
      <c r="O27" s="17"/>
      <c r="P27" s="368">
        <v>15</v>
      </c>
      <c r="Q27" s="9" t="str">
        <f t="shared" si="1"/>
        <v>21632 - PCC Portland Blast Furnace Slag Cement &amp; Fly Ash</v>
      </c>
      <c r="R27" s="17"/>
      <c r="S27" s="184" t="s">
        <v>333</v>
      </c>
      <c r="T27" s="9" t="s">
        <v>334</v>
      </c>
      <c r="U27" s="17"/>
      <c r="V27" s="4"/>
      <c r="Y27" s="277" t="s">
        <v>222</v>
      </c>
      <c r="Z27" s="4"/>
    </row>
    <row r="28" spans="16:26" ht="15">
      <c r="P28" s="367">
        <v>16</v>
      </c>
      <c r="Q28" s="9" t="str">
        <f t="shared" si="1"/>
        <v>21633 - GROUT Insertion Lining</v>
      </c>
      <c r="R28" s="17"/>
      <c r="S28" s="184" t="s">
        <v>292</v>
      </c>
      <c r="T28" s="9" t="s">
        <v>295</v>
      </c>
      <c r="U28" s="17"/>
      <c r="V28" s="4"/>
      <c r="Y28" s="277" t="s">
        <v>223</v>
      </c>
      <c r="Z28" s="4"/>
    </row>
    <row r="29" spans="16:26" ht="15">
      <c r="P29" s="368">
        <v>17</v>
      </c>
      <c r="Q29" s="9" t="str">
        <f t="shared" si="1"/>
        <v>21634 - PERVIOUS PCC Cement Only</v>
      </c>
      <c r="R29" s="17"/>
      <c r="S29" s="184" t="s">
        <v>328</v>
      </c>
      <c r="T29" s="9" t="s">
        <v>312</v>
      </c>
      <c r="U29" s="17"/>
      <c r="V29" s="4"/>
      <c r="Y29" s="277" t="s">
        <v>224</v>
      </c>
      <c r="Z29" s="4"/>
    </row>
    <row r="30" spans="16:26" ht="15">
      <c r="P30" s="368">
        <v>18</v>
      </c>
      <c r="Q30" s="9" t="str">
        <f t="shared" si="1"/>
        <v>21635 - PERVIOUS PCC Cement &amp; Fly Ash</v>
      </c>
      <c r="R30" s="17"/>
      <c r="S30" s="184" t="s">
        <v>329</v>
      </c>
      <c r="T30" s="9" t="s">
        <v>313</v>
      </c>
      <c r="U30" s="17"/>
      <c r="V30" s="4"/>
      <c r="Y30" s="277" t="s">
        <v>225</v>
      </c>
      <c r="Z30" s="4"/>
    </row>
    <row r="31" spans="16:26" ht="15">
      <c r="P31" s="367">
        <v>19</v>
      </c>
      <c r="Q31" s="9" t="str">
        <f aca="true" t="shared" si="2" ref="Q31:Q41">IF(Units=1,S31,T31)</f>
        <v>21636 - PERVIOUS PCC Cement &amp; GGBF Slag</v>
      </c>
      <c r="R31" s="17"/>
      <c r="S31" s="184" t="s">
        <v>330</v>
      </c>
      <c r="T31" s="9" t="s">
        <v>314</v>
      </c>
      <c r="U31" s="17"/>
      <c r="V31" s="4"/>
      <c r="Y31" s="277" t="s">
        <v>226</v>
      </c>
      <c r="Z31" s="4"/>
    </row>
    <row r="32" spans="16:26" ht="15">
      <c r="P32" s="368">
        <v>20</v>
      </c>
      <c r="Q32" s="9" t="str">
        <f t="shared" si="2"/>
        <v>21637 - PCC Cement &amp; Type K</v>
      </c>
      <c r="S32" s="184" t="s">
        <v>368</v>
      </c>
      <c r="T32" s="9" t="s">
        <v>366</v>
      </c>
      <c r="U32" s="17"/>
      <c r="V32" s="4"/>
      <c r="Y32" s="277" t="s">
        <v>227</v>
      </c>
      <c r="Z32" s="4"/>
    </row>
    <row r="33" spans="16:26" ht="15">
      <c r="P33" s="367">
        <v>21</v>
      </c>
      <c r="Q33" s="9" t="str">
        <f t="shared" si="2"/>
        <v>21638 - PCC Cement &amp; Fly Ash &amp; Type K</v>
      </c>
      <c r="S33" s="184" t="s">
        <v>369</v>
      </c>
      <c r="T33" s="9" t="s">
        <v>367</v>
      </c>
      <c r="U33" s="17"/>
      <c r="V33" s="4"/>
      <c r="Y33" s="278" t="s">
        <v>228</v>
      </c>
      <c r="Z33" s="5"/>
    </row>
    <row r="34" spans="16:22" ht="15">
      <c r="P34" s="368">
        <v>22</v>
      </c>
      <c r="Q34" s="9" t="str">
        <f t="shared" si="2"/>
        <v>21640 - ROLLER COMPACTED Cement Only</v>
      </c>
      <c r="S34" s="184" t="s">
        <v>374</v>
      </c>
      <c r="T34" s="9" t="s">
        <v>375</v>
      </c>
      <c r="U34" s="17"/>
      <c r="V34" s="4"/>
    </row>
    <row r="35" spans="16:22" ht="15">
      <c r="P35" s="367">
        <v>23</v>
      </c>
      <c r="Q35" s="9" t="str">
        <f t="shared" si="2"/>
        <v>21641 - ROLLER COMPACTED Cement &amp; Fly Ash</v>
      </c>
      <c r="S35" s="184" t="s">
        <v>373</v>
      </c>
      <c r="T35" s="9" t="s">
        <v>370</v>
      </c>
      <c r="U35" s="17"/>
      <c r="V35" s="4"/>
    </row>
    <row r="36" spans="16:22" ht="15">
      <c r="P36" s="3">
        <v>24</v>
      </c>
      <c r="Q36" s="9" t="str">
        <f t="shared" si="2"/>
        <v>21642 - ROLLER COMPACTED Cement &amp; GGBF Slag</v>
      </c>
      <c r="S36" s="184" t="s">
        <v>372</v>
      </c>
      <c r="T36" s="9" t="s">
        <v>371</v>
      </c>
      <c r="U36" s="17"/>
      <c r="V36" s="4"/>
    </row>
    <row r="37" spans="16:22" ht="15">
      <c r="P37" s="3">
        <v>25</v>
      </c>
      <c r="Q37" s="9" t="str">
        <f t="shared" si="2"/>
        <v>21643 - PCC Cement &amp; GGBF Slag &amp; Fly Ash</v>
      </c>
      <c r="S37" s="184" t="s">
        <v>384</v>
      </c>
      <c r="T37" s="9" t="s">
        <v>385</v>
      </c>
      <c r="U37" s="17"/>
      <c r="V37" s="4"/>
    </row>
    <row r="38" spans="16:22" ht="15">
      <c r="P38" s="3">
        <v>26</v>
      </c>
      <c r="Q38" s="9" t="str">
        <f t="shared" si="2"/>
        <v>21801 - CAM 2 Econocrete</v>
      </c>
      <c r="R38" s="17"/>
      <c r="S38" s="184" t="s">
        <v>293</v>
      </c>
      <c r="T38" s="9" t="s">
        <v>296</v>
      </c>
      <c r="U38" s="17"/>
      <c r="V38" s="4"/>
    </row>
    <row r="39" spans="16:22" ht="15">
      <c r="P39" s="3">
        <v>27</v>
      </c>
      <c r="Q39" s="9" t="str">
        <f t="shared" si="2"/>
        <v>21803 - CAM 2 Fly Ash</v>
      </c>
      <c r="R39" s="9"/>
      <c r="S39" s="184" t="s">
        <v>294</v>
      </c>
      <c r="T39" s="9" t="s">
        <v>297</v>
      </c>
      <c r="U39" s="17"/>
      <c r="V39" s="4"/>
    </row>
    <row r="40" spans="16:22" ht="15">
      <c r="P40" s="3">
        <v>28</v>
      </c>
      <c r="Q40" s="9" t="str">
        <f t="shared" si="2"/>
        <v>22106 - PATCH Rapid-Hardening Cement</v>
      </c>
      <c r="R40" s="9"/>
      <c r="S40" s="184" t="s">
        <v>331</v>
      </c>
      <c r="T40" s="9" t="s">
        <v>315</v>
      </c>
      <c r="U40" s="17"/>
      <c r="V40" s="4"/>
    </row>
    <row r="41" spans="16:22" ht="15">
      <c r="P41" s="3">
        <v>29</v>
      </c>
      <c r="Q41" s="12" t="str">
        <f t="shared" si="2"/>
        <v>22107 - PATCH Calcium Aluminate Cement</v>
      </c>
      <c r="R41" s="12"/>
      <c r="S41" s="371" t="s">
        <v>332</v>
      </c>
      <c r="T41" s="12" t="s">
        <v>316</v>
      </c>
      <c r="U41" s="19"/>
      <c r="V41" s="5"/>
    </row>
    <row r="42" ht="15">
      <c r="U42" s="17"/>
    </row>
  </sheetData>
  <sheetProtection password="EE35" sheet="1"/>
  <mergeCells count="1">
    <mergeCell ref="B1:B2"/>
  </mergeCells>
  <hyperlinks>
    <hyperlink ref="J20" r:id="rId1" display="DOT.PCCMIX@Illinois.gov"/>
  </hyperlinks>
  <printOptions horizontalCentered="1" verticalCentered="1"/>
  <pageMargins left="0.75" right="0.75" top="0.75" bottom="0.75" header="0.5" footer="0.5"/>
  <pageSetup horizontalDpi="600" verticalDpi="600" orientation="landscape" scale="95" r:id="rId5"/>
  <drawing r:id="rId4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0"/>
  <sheetViews>
    <sheetView zoomScalePageLayoutView="0" workbookViewId="0" topLeftCell="A1">
      <selection activeCell="B1" sqref="B1:B16384"/>
    </sheetView>
  </sheetViews>
  <sheetFormatPr defaultColWidth="8.796875" defaultRowHeight="15.75"/>
  <cols>
    <col min="1" max="1" width="24.19921875" style="495" bestFit="1" customWidth="1"/>
    <col min="2" max="2" width="22.19921875" style="537" bestFit="1" customWidth="1"/>
    <col min="3" max="3" width="8.796875" style="495" customWidth="1"/>
    <col min="4" max="4" width="14" style="495" bestFit="1" customWidth="1"/>
    <col min="5" max="16384" width="8.796875" style="495" customWidth="1"/>
  </cols>
  <sheetData>
    <row r="1" ht="15">
      <c r="A1" s="495" t="s">
        <v>398</v>
      </c>
    </row>
    <row r="2" spans="1:2" ht="15">
      <c r="A2" s="495" t="s">
        <v>399</v>
      </c>
      <c r="B2" s="538" t="s">
        <v>487</v>
      </c>
    </row>
    <row r="3" spans="1:2" ht="15">
      <c r="A3" s="495" t="s">
        <v>400</v>
      </c>
      <c r="B3" s="538"/>
    </row>
    <row r="4" spans="1:2" ht="15">
      <c r="A4" s="495" t="s">
        <v>401</v>
      </c>
      <c r="B4" s="539" t="str">
        <f>'Mix Report (English)'!C4</f>
        <v>PMC0001PV</v>
      </c>
    </row>
    <row r="5" spans="1:2" ht="15">
      <c r="A5" s="495" t="s">
        <v>181</v>
      </c>
      <c r="B5" s="538">
        <f>'Mix Report (English)'!G3</f>
        <v>21605</v>
      </c>
    </row>
    <row r="6" spans="1:2" ht="15">
      <c r="A6" s="495" t="s">
        <v>402</v>
      </c>
      <c r="B6" s="540"/>
    </row>
    <row r="7" spans="1:2" ht="15">
      <c r="A7" s="495" t="s">
        <v>403</v>
      </c>
      <c r="B7" s="540">
        <v>65746</v>
      </c>
    </row>
    <row r="8" spans="1:2" ht="15">
      <c r="A8" s="495" t="s">
        <v>404</v>
      </c>
      <c r="B8" s="538"/>
    </row>
    <row r="9" spans="1:2" ht="15">
      <c r="A9" s="495" t="s">
        <v>405</v>
      </c>
      <c r="B9" s="541"/>
    </row>
    <row r="10" ht="15">
      <c r="A10" s="495" t="s">
        <v>406</v>
      </c>
    </row>
    <row r="11" spans="1:2" ht="15">
      <c r="A11" s="495" t="s">
        <v>407</v>
      </c>
      <c r="B11" s="538" t="str">
        <f>'Mix Report (English)'!W7</f>
        <v>PV</v>
      </c>
    </row>
    <row r="12" spans="1:2" ht="15">
      <c r="A12" s="495" t="s">
        <v>408</v>
      </c>
      <c r="B12" s="538">
        <f>'Mix Report (English)'!W8</f>
      </c>
    </row>
    <row r="13" spans="1:2" ht="15">
      <c r="A13" s="495" t="s">
        <v>409</v>
      </c>
      <c r="B13" s="538">
        <f>'Mix Report (English)'!W9</f>
      </c>
    </row>
    <row r="14" spans="1:2" ht="15">
      <c r="A14" s="495" t="s">
        <v>410</v>
      </c>
      <c r="B14" s="538">
        <f>'Mix Report (English)'!W10</f>
      </c>
    </row>
    <row r="15" spans="1:2" ht="15">
      <c r="A15" s="495" t="s">
        <v>411</v>
      </c>
      <c r="B15" s="538">
        <f>'Mix Report (English)'!W11</f>
      </c>
    </row>
    <row r="16" spans="1:2" ht="15">
      <c r="A16" s="495" t="s">
        <v>412</v>
      </c>
      <c r="B16" s="538">
        <f>'Mix Report (English)'!B5</f>
        <v>91</v>
      </c>
    </row>
    <row r="17" spans="1:2" ht="15">
      <c r="A17" s="495" t="s">
        <v>413</v>
      </c>
      <c r="B17" s="538"/>
    </row>
    <row r="18" spans="1:2" ht="15">
      <c r="A18" s="495" t="s">
        <v>414</v>
      </c>
      <c r="B18" s="538" t="str">
        <f>'Mix Report (English)'!C28</f>
        <v>1234-05</v>
      </c>
    </row>
    <row r="19" spans="1:2" ht="15">
      <c r="A19" s="495" t="s">
        <v>415</v>
      </c>
      <c r="B19" s="538" t="str">
        <f>'Mix Report (English)'!G28</f>
        <v>EVERYMAN REDI-MIX CO.</v>
      </c>
    </row>
    <row r="20" spans="1:2" ht="15">
      <c r="A20" s="495" t="s">
        <v>249</v>
      </c>
      <c r="B20" s="542">
        <f>'Mix Report (English)'!G9</f>
        <v>5.35</v>
      </c>
    </row>
    <row r="21" spans="1:2" ht="15">
      <c r="A21" s="495" t="s">
        <v>232</v>
      </c>
      <c r="B21" s="538">
        <f>'Mix Report (English)'!H9</f>
        <v>0.83</v>
      </c>
    </row>
    <row r="22" spans="1:2" ht="15">
      <c r="A22" s="495" t="s">
        <v>416</v>
      </c>
      <c r="B22" s="542">
        <f>'Mix Report (English)'!W5</f>
        <v>0.39</v>
      </c>
    </row>
    <row r="23" spans="1:2" ht="15">
      <c r="A23" s="495" t="s">
        <v>417</v>
      </c>
      <c r="B23" s="538">
        <f>'Mix Report (English)'!E9</f>
        <v>6.5</v>
      </c>
    </row>
    <row r="24" spans="1:2" ht="15">
      <c r="A24" s="495" t="s">
        <v>418</v>
      </c>
      <c r="B24" s="542">
        <f>'Mix Report (English)'!H24</f>
        <v>0.42</v>
      </c>
    </row>
    <row r="25" spans="1:2" ht="15">
      <c r="A25" s="495" t="s">
        <v>419</v>
      </c>
      <c r="B25" s="538"/>
    </row>
    <row r="26" spans="1:2" ht="15">
      <c r="A26" s="495" t="s">
        <v>420</v>
      </c>
      <c r="B26" s="538" t="str">
        <f>'Mix Report (English)'!A13</f>
        <v>027FA01</v>
      </c>
    </row>
    <row r="27" spans="1:2" ht="15">
      <c r="A27" s="495" t="s">
        <v>421</v>
      </c>
      <c r="B27" s="538" t="str">
        <f>'Mix Report (English)'!C13</f>
        <v>54321-01</v>
      </c>
    </row>
    <row r="28" spans="1:2" ht="15">
      <c r="A28" s="495" t="s">
        <v>422</v>
      </c>
      <c r="B28" s="538" t="str">
        <f>'Mix Report (English)'!E13</f>
        <v>LITTLE ROCKS CO.</v>
      </c>
    </row>
    <row r="29" spans="1:2" ht="15">
      <c r="A29" s="495" t="s">
        <v>423</v>
      </c>
      <c r="B29" s="538">
        <f>'Mix Report (English)'!I13</f>
        <v>2.66</v>
      </c>
    </row>
    <row r="30" spans="1:2" ht="15">
      <c r="A30" s="495" t="s">
        <v>424</v>
      </c>
      <c r="B30" s="538">
        <f>'Mix Report (English)'!J13</f>
        <v>100</v>
      </c>
    </row>
    <row r="31" spans="1:2" ht="15">
      <c r="A31" s="495" t="s">
        <v>425</v>
      </c>
      <c r="B31" s="543">
        <f>'Mix Report (English)'!M13</f>
        <v>1204.9622046000002</v>
      </c>
    </row>
    <row r="32" spans="1:2" ht="15">
      <c r="A32" s="495" t="s">
        <v>426</v>
      </c>
      <c r="B32" s="538" t="str">
        <f>'Mix Report (English)'!A14</f>
        <v>022CA07</v>
      </c>
    </row>
    <row r="33" spans="1:2" ht="15">
      <c r="A33" s="495" t="s">
        <v>427</v>
      </c>
      <c r="B33" s="538" t="str">
        <f>'Mix Report (English)'!C14</f>
        <v>12345-05</v>
      </c>
    </row>
    <row r="34" spans="1:2" ht="15">
      <c r="A34" s="495" t="s">
        <v>428</v>
      </c>
      <c r="B34" s="538" t="str">
        <f>'Mix Report (English)'!E14</f>
        <v>BIG ROCK CO.</v>
      </c>
    </row>
    <row r="35" spans="1:2" ht="15">
      <c r="A35" s="495" t="s">
        <v>429</v>
      </c>
      <c r="B35" s="538">
        <f>'Mix Report (English)'!I14</f>
        <v>2.68</v>
      </c>
    </row>
    <row r="36" spans="1:2" ht="15">
      <c r="A36" s="495" t="s">
        <v>430</v>
      </c>
      <c r="B36" s="538">
        <f>'Mix Report (English)'!J14</f>
        <v>100</v>
      </c>
    </row>
    <row r="37" spans="1:2" ht="15">
      <c r="A37" s="495" t="s">
        <v>431</v>
      </c>
      <c r="B37" s="543">
        <f>'Mix Report (English)'!M14</f>
        <v>1911.7462795200001</v>
      </c>
    </row>
    <row r="38" spans="1:2" ht="15">
      <c r="A38" s="495" t="s">
        <v>432</v>
      </c>
      <c r="B38" s="538">
        <f>'Mix Report (English)'!A15</f>
      </c>
    </row>
    <row r="39" spans="1:2" ht="15">
      <c r="A39" s="495" t="s">
        <v>433</v>
      </c>
      <c r="B39" s="538">
        <f>'Mix Report (English)'!C15</f>
      </c>
    </row>
    <row r="40" spans="1:2" ht="15">
      <c r="A40" s="495" t="s">
        <v>434</v>
      </c>
      <c r="B40" s="538">
        <f>'Mix Report (English)'!E15</f>
      </c>
    </row>
    <row r="41" spans="1:2" ht="15">
      <c r="A41" s="495" t="s">
        <v>435</v>
      </c>
      <c r="B41" s="538">
        <f>'Mix Report (English)'!I15</f>
      </c>
    </row>
    <row r="42" spans="1:2" ht="15">
      <c r="A42" s="495" t="s">
        <v>436</v>
      </c>
      <c r="B42" s="538">
        <f>'Mix Report (English)'!J15</f>
      </c>
    </row>
    <row r="43" spans="1:2" ht="15">
      <c r="A43" s="495" t="s">
        <v>437</v>
      </c>
      <c r="B43" s="543">
        <f>'Mix Report (English)'!M15</f>
      </c>
    </row>
    <row r="44" spans="1:2" ht="15">
      <c r="A44" s="495" t="s">
        <v>438</v>
      </c>
      <c r="B44" s="538">
        <f>'Mix Report (English)'!A16</f>
      </c>
    </row>
    <row r="45" spans="1:2" ht="15">
      <c r="A45" s="495" t="s">
        <v>439</v>
      </c>
      <c r="B45" s="538">
        <f>'Mix Report (English)'!C16</f>
      </c>
    </row>
    <row r="46" spans="1:2" ht="15">
      <c r="A46" s="495" t="s">
        <v>440</v>
      </c>
      <c r="B46" s="538">
        <f>'Mix Report (English)'!E16</f>
      </c>
    </row>
    <row r="47" spans="1:2" ht="15">
      <c r="A47" s="495" t="s">
        <v>441</v>
      </c>
      <c r="B47" s="538">
        <f>'Mix Report (English)'!I16</f>
      </c>
    </row>
    <row r="48" spans="1:2" ht="15">
      <c r="A48" s="495" t="s">
        <v>442</v>
      </c>
      <c r="B48" s="538">
        <f>'Mix Report (English)'!J16</f>
      </c>
    </row>
    <row r="49" spans="1:2" ht="15">
      <c r="A49" s="495" t="s">
        <v>443</v>
      </c>
      <c r="B49" s="543">
        <f>'Mix Report (English)'!M16</f>
      </c>
    </row>
    <row r="50" spans="1:2" ht="15">
      <c r="A50" s="495" t="s">
        <v>444</v>
      </c>
      <c r="B50" s="538">
        <f>'Mix Report (English)'!A17</f>
      </c>
    </row>
    <row r="51" spans="1:2" ht="15">
      <c r="A51" s="495" t="s">
        <v>445</v>
      </c>
      <c r="B51" s="538">
        <f>'Mix Report (English)'!C17</f>
      </c>
    </row>
    <row r="52" spans="1:2" ht="15">
      <c r="A52" s="495" t="s">
        <v>446</v>
      </c>
      <c r="B52" s="538">
        <f>'Mix Report (English)'!E17</f>
      </c>
    </row>
    <row r="53" spans="1:2" ht="15">
      <c r="A53" s="495" t="s">
        <v>447</v>
      </c>
      <c r="B53" s="538">
        <f>'Mix Report (English)'!I17</f>
      </c>
    </row>
    <row r="54" spans="1:2" ht="15">
      <c r="A54" s="495" t="s">
        <v>448</v>
      </c>
      <c r="B54" s="538">
        <f>'Mix Report (English)'!J17</f>
      </c>
    </row>
    <row r="55" spans="1:2" ht="15">
      <c r="A55" s="495" t="s">
        <v>449</v>
      </c>
      <c r="B55" s="543">
        <f>'Mix Report (English)'!M17</f>
      </c>
    </row>
    <row r="56" spans="1:2" ht="15">
      <c r="A56" s="495" t="s">
        <v>450</v>
      </c>
      <c r="B56" s="538">
        <f>'Mix Report (English)'!A18</f>
      </c>
    </row>
    <row r="57" spans="1:2" ht="15">
      <c r="A57" s="495" t="s">
        <v>451</v>
      </c>
      <c r="B57" s="538">
        <f>'Mix Report (English)'!C18</f>
      </c>
    </row>
    <row r="58" spans="1:2" ht="15">
      <c r="A58" s="495" t="s">
        <v>452</v>
      </c>
      <c r="B58" s="538">
        <f>'Mix Report (English)'!E18</f>
      </c>
    </row>
    <row r="59" spans="1:2" ht="15">
      <c r="A59" s="495" t="s">
        <v>453</v>
      </c>
      <c r="B59" s="538">
        <f>'Mix Report (English)'!I18</f>
      </c>
    </row>
    <row r="60" spans="1:2" ht="15">
      <c r="A60" s="495" t="s">
        <v>454</v>
      </c>
      <c r="B60" s="538">
        <f>'Mix Report (English)'!J18</f>
      </c>
    </row>
    <row r="61" spans="1:2" ht="15">
      <c r="A61" s="495" t="s">
        <v>455</v>
      </c>
      <c r="B61" s="543">
        <f>'Mix Report (English)'!M18</f>
      </c>
    </row>
    <row r="62" spans="1:2" ht="15">
      <c r="A62" s="495" t="s">
        <v>456</v>
      </c>
      <c r="B62" s="538" t="str">
        <f>'Mix Report (English)'!A19</f>
        <v>37708</v>
      </c>
    </row>
    <row r="63" spans="1:2" ht="15">
      <c r="A63" s="495" t="s">
        <v>457</v>
      </c>
      <c r="B63" s="538" t="str">
        <f>'Mix Report (English)'!C19</f>
        <v>555-01</v>
      </c>
    </row>
    <row r="64" spans="1:2" ht="15">
      <c r="A64" s="495" t="s">
        <v>458</v>
      </c>
      <c r="B64" s="538" t="str">
        <f>'Mix Report (English)'!E19</f>
        <v>BIG CEMENT, CO.</v>
      </c>
    </row>
    <row r="65" spans="1:2" ht="15">
      <c r="A65" s="495" t="s">
        <v>459</v>
      </c>
      <c r="B65" s="538">
        <f>'Mix Report (English)'!I19</f>
        <v>3.15</v>
      </c>
    </row>
    <row r="66" spans="1:2" ht="15">
      <c r="A66" s="495" t="s">
        <v>460</v>
      </c>
      <c r="B66" s="538">
        <f>'Mix Report (English)'!J19</f>
        <v>75</v>
      </c>
    </row>
    <row r="67" spans="1:2" ht="15">
      <c r="A67" s="495" t="s">
        <v>461</v>
      </c>
      <c r="B67" s="543">
        <f>'Mix Report (English)'!M19</f>
        <v>405</v>
      </c>
    </row>
    <row r="68" spans="1:2" ht="15">
      <c r="A68" s="495" t="s">
        <v>462</v>
      </c>
      <c r="B68" s="538" t="str">
        <f>'Mix Report (English)'!A20</f>
        <v>37801</v>
      </c>
    </row>
    <row r="69" spans="1:2" ht="15">
      <c r="A69" s="495" t="s">
        <v>463</v>
      </c>
      <c r="B69" s="538" t="str">
        <f>'Mix Report (English)'!C20</f>
        <v>43215-01</v>
      </c>
    </row>
    <row r="70" spans="1:2" ht="15">
      <c r="A70" s="495" t="s">
        <v>464</v>
      </c>
      <c r="B70" s="538" t="str">
        <f>'Mix Report (English)'!E20</f>
        <v>ASH MARKETERS, INC.</v>
      </c>
    </row>
    <row r="71" spans="1:2" ht="15">
      <c r="A71" s="495" t="s">
        <v>465</v>
      </c>
      <c r="B71" s="538">
        <f>'Mix Report (English)'!I20</f>
        <v>2.61</v>
      </c>
    </row>
    <row r="72" spans="1:2" ht="15">
      <c r="A72" s="495" t="s">
        <v>466</v>
      </c>
      <c r="B72" s="538">
        <f>'Mix Report (English)'!J20</f>
        <v>25</v>
      </c>
    </row>
    <row r="73" spans="1:2" ht="15">
      <c r="A73" s="495" t="s">
        <v>467</v>
      </c>
      <c r="B73" s="543">
        <f>'Mix Report (English)'!M20</f>
        <v>135</v>
      </c>
    </row>
    <row r="74" spans="1:2" ht="15">
      <c r="A74" s="495" t="s">
        <v>468</v>
      </c>
      <c r="B74" s="538">
        <f>'Mix Report (English)'!A21</f>
      </c>
    </row>
    <row r="75" spans="1:2" ht="15">
      <c r="A75" s="495" t="s">
        <v>469</v>
      </c>
      <c r="B75" s="538">
        <f>'Mix Report (English)'!C21</f>
      </c>
    </row>
    <row r="76" spans="1:2" ht="15">
      <c r="A76" s="495" t="s">
        <v>470</v>
      </c>
      <c r="B76" s="538">
        <f>'Mix Report (English)'!E21</f>
      </c>
    </row>
    <row r="77" spans="1:2" ht="15">
      <c r="A77" s="495" t="s">
        <v>471</v>
      </c>
      <c r="B77" s="538">
        <f>'Mix Report (English)'!I21</f>
      </c>
    </row>
    <row r="78" spans="1:2" ht="15">
      <c r="A78" s="495" t="s">
        <v>472</v>
      </c>
      <c r="B78" s="538">
        <f>'Mix Report (English)'!J21</f>
      </c>
    </row>
    <row r="79" spans="1:2" ht="15">
      <c r="A79" s="495" t="s">
        <v>473</v>
      </c>
      <c r="B79" s="543">
        <f>'Mix Report (English)'!M21</f>
      </c>
    </row>
    <row r="80" spans="1:2" ht="15">
      <c r="A80" s="495" t="s">
        <v>474</v>
      </c>
      <c r="B80" s="538">
        <f>'Mix Report (English)'!A22</f>
      </c>
    </row>
    <row r="81" spans="1:2" ht="15">
      <c r="A81" s="495" t="s">
        <v>475</v>
      </c>
      <c r="B81" s="538">
        <f>'Mix Report (English)'!C22</f>
      </c>
    </row>
    <row r="82" spans="1:2" ht="15">
      <c r="A82" s="495" t="s">
        <v>476</v>
      </c>
      <c r="B82" s="538">
        <f>'Mix Report (English)'!E22</f>
      </c>
    </row>
    <row r="83" spans="1:2" ht="15">
      <c r="A83" s="495" t="s">
        <v>477</v>
      </c>
      <c r="B83" s="538">
        <f>'Mix Report (English)'!I22</f>
      </c>
    </row>
    <row r="84" spans="1:2" ht="15">
      <c r="A84" s="495" t="s">
        <v>478</v>
      </c>
      <c r="B84" s="538">
        <f>'Mix Report (English)'!J22</f>
      </c>
    </row>
    <row r="85" spans="1:2" ht="15">
      <c r="A85" s="495" t="s">
        <v>479</v>
      </c>
      <c r="B85" s="543">
        <f>'Mix Report (English)'!M22</f>
      </c>
    </row>
    <row r="86" spans="1:2" ht="15">
      <c r="A86" s="495" t="s">
        <v>480</v>
      </c>
      <c r="B86" s="543">
        <f>'Mix Report (English)'!N26</f>
        <v>227</v>
      </c>
    </row>
    <row r="87" spans="1:2" ht="15">
      <c r="A87" s="495" t="s">
        <v>481</v>
      </c>
      <c r="B87" s="543">
        <f>'Mix Report (English)'!N24</f>
        <v>3883.7084841200003</v>
      </c>
    </row>
    <row r="88" spans="1:2" ht="15">
      <c r="A88" s="495" t="s">
        <v>482</v>
      </c>
      <c r="B88" s="538">
        <f>'Mix Report (English)'!M26</f>
        <v>27.2</v>
      </c>
    </row>
    <row r="89" spans="1:2" ht="15">
      <c r="A89" s="495" t="s">
        <v>483</v>
      </c>
      <c r="B89" s="537" t="str">
        <f>'Mix Report (English)'!C29</f>
        <v>ASR Mix Option 2, 25% fly ash</v>
      </c>
    </row>
    <row r="90" spans="1:2" ht="15">
      <c r="A90" s="495" t="s">
        <v>484</v>
      </c>
      <c r="B90" s="537">
        <f>'Mix Report (English)'!C30</f>
      </c>
    </row>
    <row r="91" spans="1:2" ht="15">
      <c r="A91" s="495" t="s">
        <v>258</v>
      </c>
      <c r="B91" s="537" t="str">
        <f>'Mix Report (English)'!F32</f>
        <v>JOHN SMITH</v>
      </c>
    </row>
    <row r="92" spans="1:2" ht="15">
      <c r="A92" s="495" t="s">
        <v>485</v>
      </c>
      <c r="B92" s="537" t="str">
        <f>'Mix Report (English)'!M34</f>
        <v>555-555-5555</v>
      </c>
    </row>
    <row r="93" spans="1:2" ht="15">
      <c r="A93" s="495" t="s">
        <v>486</v>
      </c>
      <c r="B93" s="537" t="str">
        <f>'Mix Report (English)'!M35</f>
        <v>john.smith@email.com</v>
      </c>
    </row>
    <row r="94" ht="15">
      <c r="A94" s="495" t="s">
        <v>21</v>
      </c>
    </row>
    <row r="95" spans="1:2" ht="15">
      <c r="A95" s="495" t="s">
        <v>531</v>
      </c>
      <c r="B95" s="537">
        <f>'Final Report (English)'!D35</f>
        <v>42000</v>
      </c>
    </row>
    <row r="96" spans="1:2" ht="15">
      <c r="A96" s="495" t="s">
        <v>532</v>
      </c>
      <c r="B96" s="537" t="str">
        <f>'Final Report (English)'!E35</f>
        <v>AEA</v>
      </c>
    </row>
    <row r="97" spans="1:2" ht="15">
      <c r="A97" s="495" t="s">
        <v>533</v>
      </c>
      <c r="B97" s="537" t="str">
        <f>'Final Report (English)'!F35</f>
        <v>AIR PLUS X</v>
      </c>
    </row>
    <row r="98" spans="1:2" ht="15">
      <c r="A98" s="495" t="s">
        <v>534</v>
      </c>
      <c r="B98" s="537">
        <f>'Final Report (English)'!I35</f>
      </c>
    </row>
    <row r="99" spans="1:2" ht="15">
      <c r="A99" s="495" t="s">
        <v>535</v>
      </c>
      <c r="B99" s="537">
        <f>'Final Report (English)'!D36</f>
        <v>43000</v>
      </c>
    </row>
    <row r="100" spans="1:2" ht="15">
      <c r="A100" s="495" t="s">
        <v>536</v>
      </c>
      <c r="B100" s="537" t="str">
        <f>'Final Report (English)'!E36</f>
        <v>A</v>
      </c>
    </row>
    <row r="101" spans="1:2" ht="15">
      <c r="A101" s="495" t="s">
        <v>537</v>
      </c>
      <c r="B101" s="537" t="str">
        <f>'Final Report (English)'!F36</f>
        <v>WATER REDUCTO 2000</v>
      </c>
    </row>
    <row r="102" spans="1:2" ht="15">
      <c r="A102" s="495" t="s">
        <v>538</v>
      </c>
      <c r="B102" s="537">
        <f>'Final Report (English)'!I36</f>
      </c>
    </row>
    <row r="103" spans="1:2" ht="15">
      <c r="A103" s="495" t="s">
        <v>539</v>
      </c>
      <c r="B103" s="537">
        <f>'Final Report (English)'!D37</f>
      </c>
    </row>
    <row r="104" spans="1:2" ht="15">
      <c r="A104" s="495" t="s">
        <v>540</v>
      </c>
      <c r="B104" s="537">
        <f>'Final Report (English)'!E37</f>
      </c>
    </row>
    <row r="105" spans="1:2" ht="15">
      <c r="A105" s="495" t="s">
        <v>541</v>
      </c>
      <c r="B105" s="537">
        <f>'Final Report (English)'!F37</f>
      </c>
    </row>
    <row r="106" spans="1:2" ht="15">
      <c r="A106" s="495" t="s">
        <v>542</v>
      </c>
      <c r="B106" s="537">
        <f>'Final Report (English)'!I37</f>
      </c>
    </row>
    <row r="107" spans="1:2" ht="15">
      <c r="A107" s="495" t="s">
        <v>543</v>
      </c>
      <c r="B107" s="537">
        <f>'Final Report (English)'!D38</f>
      </c>
    </row>
    <row r="108" spans="1:2" ht="15">
      <c r="A108" s="495" t="s">
        <v>544</v>
      </c>
      <c r="B108" s="537">
        <f>'Final Report (English)'!E38</f>
      </c>
    </row>
    <row r="109" spans="1:2" ht="15">
      <c r="A109" s="495" t="s">
        <v>545</v>
      </c>
      <c r="B109" s="537">
        <f>'Final Report (English)'!F38</f>
      </c>
    </row>
    <row r="110" spans="1:2" ht="15">
      <c r="A110" s="495" t="s">
        <v>546</v>
      </c>
      <c r="B110" s="537">
        <f>'Final Report (English)'!I38</f>
      </c>
    </row>
  </sheetData>
  <sheetProtection password="EE35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showGridLines="0" showRowColHeaders="0" zoomScalePageLayoutView="0" workbookViewId="0" topLeftCell="A1">
      <selection activeCell="C4" sqref="C4"/>
    </sheetView>
  </sheetViews>
  <sheetFormatPr defaultColWidth="8.796875" defaultRowHeight="15.75"/>
  <cols>
    <col min="1" max="1" width="3.69921875" style="3" customWidth="1"/>
    <col min="2" max="2" width="15.59765625" style="3" customWidth="1"/>
    <col min="3" max="3" width="10.796875" style="3" customWidth="1"/>
    <col min="4" max="4" width="9.19921875" style="3" customWidth="1"/>
    <col min="5" max="5" width="12.69921875" style="3" customWidth="1"/>
    <col min="6" max="6" width="3.59765625" style="3" customWidth="1"/>
    <col min="7" max="9" width="8.796875" style="3" customWidth="1"/>
    <col min="10" max="13" width="8.796875" style="3" hidden="1" customWidth="1"/>
    <col min="14" max="15" width="8.796875" style="3" customWidth="1"/>
    <col min="16" max="16384" width="8.796875" style="3" customWidth="1"/>
  </cols>
  <sheetData>
    <row r="1" spans="2:21" ht="19.5" customHeight="1">
      <c r="B1" s="88"/>
      <c r="C1" s="69"/>
      <c r="D1" s="128"/>
      <c r="E1" s="290"/>
      <c r="F1" s="82"/>
      <c r="G1" s="21"/>
      <c r="H1" s="21"/>
      <c r="J1" s="17"/>
      <c r="K1" s="17"/>
      <c r="L1" s="132"/>
      <c r="M1" s="132"/>
      <c r="O1" s="37"/>
      <c r="P1" s="69"/>
      <c r="Q1" s="69"/>
      <c r="R1" s="69"/>
      <c r="S1" s="69"/>
      <c r="T1" s="69"/>
      <c r="U1" s="37"/>
    </row>
    <row r="2" spans="1:21" ht="14.25" customHeight="1" thickBot="1">
      <c r="A2" s="223" t="s">
        <v>102</v>
      </c>
      <c r="B2" s="16" t="s">
        <v>106</v>
      </c>
      <c r="C2" s="17"/>
      <c r="D2" s="17"/>
      <c r="E2" s="17"/>
      <c r="G2" s="21"/>
      <c r="H2" s="21"/>
      <c r="J2" s="129" t="s">
        <v>82</v>
      </c>
      <c r="K2" s="129"/>
      <c r="L2" s="132"/>
      <c r="M2" s="132"/>
      <c r="O2" s="37"/>
      <c r="P2" s="69"/>
      <c r="Q2" s="69"/>
      <c r="R2" s="37"/>
      <c r="S2" s="37"/>
      <c r="T2" s="69"/>
      <c r="U2" s="37"/>
    </row>
    <row r="3" spans="2:21" ht="18" customHeight="1">
      <c r="B3" s="211" t="s">
        <v>155</v>
      </c>
      <c r="C3" s="137">
        <v>1</v>
      </c>
      <c r="D3" s="179" t="str">
        <f>IF(Units=1,"cubic yard","cubic meter")</f>
        <v>cubic yard</v>
      </c>
      <c r="E3" s="180"/>
      <c r="G3" s="21"/>
      <c r="H3" s="21"/>
      <c r="J3" s="48">
        <v>2</v>
      </c>
      <c r="L3" s="132"/>
      <c r="M3" s="132"/>
      <c r="O3" s="37"/>
      <c r="P3" s="69"/>
      <c r="Q3" s="69"/>
      <c r="R3" s="37"/>
      <c r="S3" s="69"/>
      <c r="T3" s="37"/>
      <c r="U3" s="37"/>
    </row>
    <row r="4" spans="2:21" ht="18" customHeight="1">
      <c r="B4" s="212" t="s">
        <v>249</v>
      </c>
      <c r="C4" s="229">
        <v>5.35</v>
      </c>
      <c r="D4" s="181" t="str">
        <f>IF(Units=1,"cwt / cu yd","kg / cu m")</f>
        <v>cwt / cu yd</v>
      </c>
      <c r="E4" s="182"/>
      <c r="G4" s="17"/>
      <c r="J4" s="129"/>
      <c r="K4" s="129"/>
      <c r="L4" s="132"/>
      <c r="M4" s="132"/>
      <c r="O4" s="37"/>
      <c r="P4" s="69"/>
      <c r="Q4" s="69"/>
      <c r="R4" s="37"/>
      <c r="S4" s="69"/>
      <c r="T4" s="37"/>
      <c r="U4" s="37"/>
    </row>
    <row r="5" spans="2:21" ht="18" customHeight="1">
      <c r="B5" s="212" t="s">
        <v>232</v>
      </c>
      <c r="C5" s="229">
        <v>0.83</v>
      </c>
      <c r="D5" s="364" t="str">
        <f>IF(OR('Design Info'!R12="21620",'Design Info'!R12="21621",'Design Info'!R12="21801",'Design Info'!R12="21803"),"(Note 1)",IF('Design Info'!R12="21606","Typically &gt;1.00","Typically 0.70 - 0.99"))</f>
        <v>Typically 0.70 - 0.99</v>
      </c>
      <c r="E5" s="83"/>
      <c r="L5" s="132"/>
      <c r="M5" s="132"/>
      <c r="O5" s="37"/>
      <c r="P5" s="69"/>
      <c r="Q5" s="69"/>
      <c r="R5" s="37"/>
      <c r="S5" s="69"/>
      <c r="T5" s="37"/>
      <c r="U5" s="37"/>
    </row>
    <row r="6" spans="2:21" ht="18" customHeight="1" thickBot="1">
      <c r="B6" s="476" t="s">
        <v>188</v>
      </c>
      <c r="C6" s="477">
        <v>6.5</v>
      </c>
      <c r="D6" s="478" t="str">
        <f>IF(OR('Design Info'!R12="21801",'Design Info'!R12="21803"),"Spec. range: 7.0 - 10.0%",IF('Design Info'!R12="21621","% (Note 2)","%"))</f>
        <v>%</v>
      </c>
      <c r="E6" s="183"/>
      <c r="G6" s="57"/>
      <c r="J6" s="129"/>
      <c r="K6" s="129"/>
      <c r="L6" s="132"/>
      <c r="M6" s="132"/>
      <c r="O6" s="37"/>
      <c r="P6" s="69"/>
      <c r="Q6" s="69"/>
      <c r="R6" s="37"/>
      <c r="S6" s="69"/>
      <c r="T6" s="37"/>
      <c r="U6" s="37"/>
    </row>
    <row r="7" spans="2:18" ht="18" customHeight="1">
      <c r="B7" s="299">
        <f>IF(OR('Design Info'!R12="21620",'Design Info'!R12="21621"),"Note 1 - For CLSM or Revement Mat mix designs, Mortar Factor is 1.00",IF(OR('Design Info'!R12="21801",'Design Info'!R12="21803"),"Note 1 - For CAM II mix designs, Mortar Factor is calculated on Design Report.",""))</f>
      </c>
      <c r="G7" s="57"/>
      <c r="J7" s="70" t="s">
        <v>156</v>
      </c>
      <c r="K7" s="70"/>
      <c r="L7" s="70"/>
      <c r="M7" s="70"/>
      <c r="R7" s="70"/>
    </row>
    <row r="8" spans="2:13" ht="18" customHeight="1" thickBot="1">
      <c r="B8" s="299">
        <f>IF('Design Info'!R12="21621","Note 2 - For CLSM, Mix 1: 2%; Mix 2 or 3: 15 - 25%","")</f>
      </c>
      <c r="G8" s="17"/>
      <c r="J8" s="190" t="s">
        <v>77</v>
      </c>
      <c r="K8" s="73"/>
      <c r="L8" s="73"/>
      <c r="M8" s="178">
        <v>1</v>
      </c>
    </row>
    <row r="9" spans="2:13" ht="18" customHeight="1">
      <c r="B9" s="213" t="str">
        <f>IF(OR('Design Info'!R12="21620",'Design Info'!R12="21621",'Design Info'!R12="21801",'Design Info'!R12="21803"),"Select w/c Ratio Method:","Determine Water Content:")</f>
        <v>Determine Water Content:</v>
      </c>
      <c r="C9" s="191"/>
      <c r="D9" s="192"/>
      <c r="E9" s="193"/>
      <c r="G9" s="17"/>
      <c r="J9" s="74" t="s">
        <v>22</v>
      </c>
      <c r="K9" s="71"/>
      <c r="L9" s="71"/>
      <c r="M9" s="75"/>
    </row>
    <row r="10" spans="2:13" ht="18" customHeight="1">
      <c r="B10" s="214" t="str">
        <f>IF(J3=1,"FA Type","ignore &gt;&gt;&gt;")</f>
        <v>ignore &gt;&gt;&gt;</v>
      </c>
      <c r="C10" s="68"/>
      <c r="D10" s="17"/>
      <c r="E10" s="83"/>
      <c r="G10" s="17"/>
      <c r="J10" s="74" t="s">
        <v>23</v>
      </c>
      <c r="K10" s="71"/>
      <c r="L10" s="71"/>
      <c r="M10" s="75"/>
    </row>
    <row r="11" spans="2:13" ht="18" customHeight="1">
      <c r="B11" s="215" t="str">
        <f>IF(J3=1,"FA Water Req.","Enter W/C Ratio &gt;")</f>
        <v>Enter W/C Ratio &gt;</v>
      </c>
      <c r="C11" s="262">
        <v>0.42</v>
      </c>
      <c r="D11" s="71">
        <f>IF(J3=1,IF(Units=1,"gal/cwt","L / kg"),IF(OR('Design Info'!R12="21801",'Design Info'!R12="21803"),"Typically 0.60 - 1.60",IF('Design Info'!R12="21621","Typically 2.00 - 3.00",IF('Design Info'!R12="21620","Maximum 0.60",""))))</f>
      </c>
      <c r="E11" s="194"/>
      <c r="F11" s="17"/>
      <c r="G11" s="17"/>
      <c r="J11" s="76" t="s">
        <v>24</v>
      </c>
      <c r="K11" s="77"/>
      <c r="L11" s="77"/>
      <c r="M11" s="78"/>
    </row>
    <row r="12" spans="2:7" ht="18" customHeight="1">
      <c r="B12" s="215" t="str">
        <f>IF(J3=1,"CA Water Req.","ignore &gt;&gt;&gt;")</f>
        <v>ignore &gt;&gt;&gt;</v>
      </c>
      <c r="C12" s="262"/>
      <c r="D12" s="72">
        <f>IF(J3=1,IF(Units=1,"gal/cwt","L / kg"),"")</f>
      </c>
      <c r="E12" s="291"/>
      <c r="G12" s="17"/>
    </row>
    <row r="13" spans="2:11" ht="18" customHeight="1" thickBot="1">
      <c r="B13" s="216" t="str">
        <f>IF(J3=1,"Water Reduction","ignore &gt;&gt;&gt;")</f>
        <v>ignore &gt;&gt;&gt;</v>
      </c>
      <c r="C13" s="398"/>
      <c r="D13" s="195">
        <f>IF(J3=1,"%  (see H2O Adj. tab for help)","")</f>
      </c>
      <c r="E13" s="196"/>
      <c r="G13" s="17"/>
      <c r="J13" s="17"/>
      <c r="K13" s="17"/>
    </row>
    <row r="14" spans="2:11" ht="18" customHeight="1">
      <c r="B14" s="553">
        <f>IF(C13&lt;0,"Note: You have entered a negative value for Water Reduction. A negative water reduction will calculate as a water addition. For example, enter "&amp;ABS(C13)&amp;" for a "&amp;ABS(C13)&amp;" percent water reduction, and enter -"&amp;ABS(C13)&amp;" for a "&amp;ABS(C13)&amp;" percent water addition.","")</f>
      </c>
      <c r="C14" s="553"/>
      <c r="D14" s="553"/>
      <c r="E14" s="553"/>
      <c r="F14" s="503"/>
      <c r="G14" s="17"/>
      <c r="J14" s="17"/>
      <c r="K14" s="17"/>
    </row>
    <row r="15" spans="2:11" ht="18" customHeight="1">
      <c r="B15" s="554"/>
      <c r="C15" s="554"/>
      <c r="D15" s="554"/>
      <c r="E15" s="554"/>
      <c r="F15" s="503"/>
      <c r="G15" s="17"/>
      <c r="J15" s="17"/>
      <c r="K15" s="17"/>
    </row>
    <row r="16" spans="2:11" ht="18" customHeight="1">
      <c r="B16" s="554"/>
      <c r="C16" s="554"/>
      <c r="D16" s="554"/>
      <c r="E16" s="554"/>
      <c r="F16" s="503"/>
      <c r="G16" s="17"/>
      <c r="J16" s="17"/>
      <c r="K16" s="17"/>
    </row>
    <row r="17" spans="2:11" ht="18" customHeight="1">
      <c r="B17" s="554"/>
      <c r="C17" s="554"/>
      <c r="D17" s="554"/>
      <c r="E17" s="554"/>
      <c r="F17" s="503"/>
      <c r="J17" s="17"/>
      <c r="K17" s="17"/>
    </row>
    <row r="18" spans="2:17" ht="15" customHeight="1">
      <c r="B18" s="554"/>
      <c r="C18" s="554"/>
      <c r="D18" s="554"/>
      <c r="E18" s="554"/>
      <c r="J18" s="17"/>
      <c r="K18" s="17"/>
      <c r="L18" s="17"/>
      <c r="M18" s="17"/>
      <c r="N18" s="17"/>
      <c r="O18" s="17"/>
      <c r="P18" s="17"/>
      <c r="Q18" s="17"/>
    </row>
    <row r="19" spans="10:26" ht="15" customHeight="1">
      <c r="J19" s="17"/>
      <c r="K19" s="17"/>
      <c r="L19" s="129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0:26" ht="15" customHeight="1">
      <c r="J20" s="17"/>
      <c r="K20" s="17"/>
      <c r="L20" s="129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0:26" ht="15">
      <c r="J21" s="17"/>
      <c r="K21" s="17"/>
      <c r="L21" s="129"/>
      <c r="M21" s="17"/>
      <c r="N21" s="17"/>
      <c r="O21" s="17"/>
      <c r="P21" s="129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0:26" ht="15">
      <c r="J22" s="17"/>
      <c r="K22" s="17"/>
      <c r="L22" s="17"/>
      <c r="M22" s="17"/>
      <c r="N22" s="17"/>
      <c r="O22" s="17"/>
      <c r="P22" s="129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0:26" ht="15">
      <c r="J23" s="17"/>
      <c r="K23" s="17"/>
      <c r="L23" s="17"/>
      <c r="M23" s="17"/>
      <c r="N23" s="17"/>
      <c r="O23" s="17"/>
      <c r="P23" s="129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9:17" ht="15">
      <c r="I24" s="17"/>
      <c r="J24" s="17"/>
      <c r="K24" s="17"/>
      <c r="L24" s="17"/>
      <c r="M24" s="17"/>
      <c r="N24" s="17"/>
      <c r="O24" s="17"/>
      <c r="P24" s="129"/>
      <c r="Q24" s="17"/>
    </row>
    <row r="25" ht="15">
      <c r="P25" s="17">
        <f>IF(OR(P21=6,P22=6,P23=6,P24=6),"X","")</f>
      </c>
    </row>
  </sheetData>
  <sheetProtection password="EE35" sheet="1"/>
  <mergeCells count="1">
    <mergeCell ref="B14:E18"/>
  </mergeCells>
  <conditionalFormatting sqref="B11">
    <cfRule type="cellIs" priority="5" dxfId="7" operator="equal" stopIfTrue="1">
      <formula>"Enter W/C Ratio &gt;"</formula>
    </cfRule>
  </conditionalFormatting>
  <conditionalFormatting sqref="B9">
    <cfRule type="cellIs" priority="6" dxfId="7" operator="equal" stopIfTrue="1">
      <formula>"Select w/c Ratio Method:"</formula>
    </cfRule>
  </conditionalFormatting>
  <conditionalFormatting sqref="B10">
    <cfRule type="containsText" priority="4" dxfId="8" operator="containsText" stopIfTrue="1" text="Select FA Type">
      <formula>NOT(ISERROR(SEARCH("Select FA Type",B10)))</formula>
    </cfRule>
  </conditionalFormatting>
  <conditionalFormatting sqref="B12">
    <cfRule type="cellIs" priority="3" dxfId="8" operator="equal" stopIfTrue="1">
      <formula>"CA Water Req. &gt;"</formula>
    </cfRule>
  </conditionalFormatting>
  <conditionalFormatting sqref="D5">
    <cfRule type="cellIs" priority="2" dxfId="8" operator="equal" stopIfTrue="1">
      <formula>"(Note 1)"</formula>
    </cfRule>
  </conditionalFormatting>
  <conditionalFormatting sqref="D6">
    <cfRule type="cellIs" priority="1" dxfId="8" operator="equal" stopIfTrue="1">
      <formula>"% (Note 2)"</formula>
    </cfRule>
  </conditionalFormatting>
  <printOptions/>
  <pageMargins left="0.75" right="0.75" top="1" bottom="1" header="0.5" footer="0.5"/>
  <pageSetup horizontalDpi="600" verticalDpi="600" orientation="landscape" scale="11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11"/>
  <sheetViews>
    <sheetView showGridLines="0" showRowColHeaders="0" showZeros="0" zoomScalePageLayoutView="0" workbookViewId="0" topLeftCell="A1">
      <selection activeCell="B6" sqref="B6"/>
    </sheetView>
  </sheetViews>
  <sheetFormatPr defaultColWidth="8.796875" defaultRowHeight="15.75"/>
  <cols>
    <col min="1" max="1" width="3.69921875" style="3" customWidth="1"/>
    <col min="2" max="2" width="9.8984375" style="3" customWidth="1"/>
    <col min="3" max="3" width="8.796875" style="3" customWidth="1"/>
    <col min="4" max="4" width="20.69921875" style="3" customWidth="1"/>
    <col min="5" max="7" width="8.796875" style="3" customWidth="1"/>
    <col min="8" max="8" width="9.296875" style="44" customWidth="1"/>
    <col min="9" max="9" width="7.69921875" style="3" customWidth="1"/>
    <col min="10" max="11" width="5.69921875" style="3" customWidth="1"/>
    <col min="12" max="12" width="5.796875" style="3" customWidth="1"/>
    <col min="13" max="13" width="8.796875" style="3" customWidth="1"/>
    <col min="14" max="15" width="11.19921875" style="3" customWidth="1"/>
    <col min="16" max="19" width="11.19921875" style="3" bestFit="1" customWidth="1"/>
    <col min="20" max="16384" width="8.796875" style="3" customWidth="1"/>
  </cols>
  <sheetData>
    <row r="1" spans="1:18" ht="12" customHeight="1">
      <c r="A1" s="21"/>
      <c r="B1" s="85"/>
      <c r="C1" s="69"/>
      <c r="D1" s="69"/>
      <c r="E1" s="21"/>
      <c r="F1" s="555">
        <f>IF(OR('Design Info'!R12="21801",'Design Info'!R12="21803"),"Recommended % Blend of coarse to fine aggregate: 50-50 when using CA 7 or CA 11; 75-25 when using CA 6; and 100-0 (i.e. no fine agg.) when using CA 10.","")</f>
      </c>
      <c r="G1" s="555"/>
      <c r="H1" s="555"/>
      <c r="I1" s="69"/>
      <c r="J1" s="86"/>
      <c r="K1" s="37"/>
      <c r="L1" s="21"/>
      <c r="M1" s="44"/>
      <c r="N1" s="44"/>
      <c r="O1" s="46"/>
      <c r="P1" s="46"/>
      <c r="Q1" s="44"/>
      <c r="R1" s="44"/>
    </row>
    <row r="2" spans="6:18" ht="15.75" customHeight="1">
      <c r="F2" s="555"/>
      <c r="G2" s="555"/>
      <c r="H2" s="555"/>
      <c r="K2" s="17"/>
      <c r="L2" s="17"/>
      <c r="M2" s="46"/>
      <c r="N2" s="44"/>
      <c r="O2" s="46"/>
      <c r="P2" s="46"/>
      <c r="Q2" s="44"/>
      <c r="R2" s="44"/>
    </row>
    <row r="3" spans="1:18" ht="18" customHeight="1" thickBot="1">
      <c r="A3" s="224" t="s">
        <v>103</v>
      </c>
      <c r="B3" s="45" t="s">
        <v>183</v>
      </c>
      <c r="C3" s="38"/>
      <c r="D3" s="38"/>
      <c r="E3" s="38"/>
      <c r="F3" s="556"/>
      <c r="G3" s="557"/>
      <c r="H3" s="557"/>
      <c r="I3" s="248"/>
      <c r="K3" s="17"/>
      <c r="L3" s="17"/>
      <c r="M3" s="46"/>
      <c r="N3" s="44"/>
      <c r="O3" s="44"/>
      <c r="P3" s="46"/>
      <c r="Q3" s="44"/>
      <c r="R3" s="44"/>
    </row>
    <row r="4" spans="2:19" ht="18" customHeight="1">
      <c r="B4" s="217" t="s">
        <v>19</v>
      </c>
      <c r="C4" s="204" t="s">
        <v>2</v>
      </c>
      <c r="D4" s="208" t="s">
        <v>2</v>
      </c>
      <c r="E4" s="204" t="s">
        <v>189</v>
      </c>
      <c r="F4" s="363" t="str">
        <f>IF(OR('Design Info'!R12="21801",'Design Info'!R12="21803"),"% Blend","%")</f>
        <v>%</v>
      </c>
      <c r="G4" s="17"/>
      <c r="H4" s="46"/>
      <c r="L4" s="17"/>
      <c r="M4" s="17"/>
      <c r="N4" s="46"/>
      <c r="O4" s="44"/>
      <c r="P4" s="46"/>
      <c r="Q4" s="44"/>
      <c r="R4" s="44"/>
      <c r="S4" s="44"/>
    </row>
    <row r="5" spans="2:19" ht="18" customHeight="1">
      <c r="B5" s="218" t="s">
        <v>59</v>
      </c>
      <c r="C5" s="206" t="s">
        <v>3</v>
      </c>
      <c r="D5" s="209" t="s">
        <v>4</v>
      </c>
      <c r="E5" s="206" t="s">
        <v>42</v>
      </c>
      <c r="F5" s="219" t="str">
        <f>IF(OR('Design Info'!R12="21801",'Design Info'!R12="21803"),"CA-FA","Blend")</f>
        <v>Blend</v>
      </c>
      <c r="L5" s="17"/>
      <c r="M5" s="17"/>
      <c r="N5" s="46"/>
      <c r="O5" s="44"/>
      <c r="P5" s="46"/>
      <c r="Q5" s="44"/>
      <c r="R5" s="44"/>
      <c r="S5" s="44"/>
    </row>
    <row r="6" spans="1:16" ht="18" customHeight="1">
      <c r="A6" s="15"/>
      <c r="B6" s="230" t="s">
        <v>517</v>
      </c>
      <c r="C6" s="232" t="s">
        <v>518</v>
      </c>
      <c r="D6" s="259" t="s">
        <v>557</v>
      </c>
      <c r="E6" s="348">
        <v>2.66</v>
      </c>
      <c r="F6" s="479">
        <v>100</v>
      </c>
      <c r="G6" s="288">
        <f aca="true" t="shared" si="0" ref="G6:G11">IF(B6="","",IF(LEN(B6)&lt;7,"error - 1",IF(AND(MID(B6,4,1)&lt;&gt;"c",MID(B6,4,1)&lt;&gt;"f"),"error - 2","")))</f>
      </c>
      <c r="L6" s="17"/>
      <c r="M6" s="17"/>
      <c r="N6" s="46"/>
      <c r="O6" s="44"/>
      <c r="P6" s="46"/>
    </row>
    <row r="7" spans="1:16" ht="18" customHeight="1">
      <c r="A7" s="15"/>
      <c r="B7" s="230" t="s">
        <v>554</v>
      </c>
      <c r="C7" s="232" t="s">
        <v>555</v>
      </c>
      <c r="D7" s="259" t="s">
        <v>556</v>
      </c>
      <c r="E7" s="348">
        <v>2.68</v>
      </c>
      <c r="F7" s="479">
        <v>100</v>
      </c>
      <c r="G7" s="288">
        <f t="shared" si="0"/>
      </c>
      <c r="L7" s="17"/>
      <c r="M7" s="17"/>
      <c r="N7" s="46"/>
      <c r="O7" s="44"/>
      <c r="P7" s="46"/>
    </row>
    <row r="8" spans="1:16" ht="18" customHeight="1">
      <c r="A8" s="15"/>
      <c r="B8" s="230"/>
      <c r="C8" s="232"/>
      <c r="D8" s="258"/>
      <c r="E8" s="348"/>
      <c r="F8" s="479"/>
      <c r="G8" s="288">
        <f t="shared" si="0"/>
      </c>
      <c r="L8" s="17"/>
      <c r="M8" s="17"/>
      <c r="N8" s="46"/>
      <c r="O8" s="44"/>
      <c r="P8" s="46"/>
    </row>
    <row r="9" spans="1:16" ht="18" customHeight="1">
      <c r="A9" s="15"/>
      <c r="B9" s="230"/>
      <c r="C9" s="232"/>
      <c r="D9" s="258"/>
      <c r="E9" s="348"/>
      <c r="F9" s="479"/>
      <c r="G9" s="288">
        <f t="shared" si="0"/>
      </c>
      <c r="L9" s="17"/>
      <c r="M9" s="17"/>
      <c r="N9" s="46"/>
      <c r="O9" s="44"/>
      <c r="P9" s="46"/>
    </row>
    <row r="10" spans="1:19" ht="18" customHeight="1">
      <c r="A10" s="15"/>
      <c r="B10" s="230"/>
      <c r="C10" s="232"/>
      <c r="D10" s="258"/>
      <c r="E10" s="348"/>
      <c r="F10" s="479"/>
      <c r="G10" s="288">
        <f t="shared" si="0"/>
      </c>
      <c r="L10" s="17"/>
      <c r="M10" s="17"/>
      <c r="N10" s="46"/>
      <c r="O10" s="44"/>
      <c r="P10" s="46"/>
      <c r="Q10" s="44"/>
      <c r="R10" s="44"/>
      <c r="S10" s="44"/>
    </row>
    <row r="11" spans="1:19" ht="18" customHeight="1" thickBot="1">
      <c r="A11" s="15"/>
      <c r="B11" s="403"/>
      <c r="C11" s="335"/>
      <c r="D11" s="404"/>
      <c r="E11" s="405"/>
      <c r="F11" s="480"/>
      <c r="G11" s="288">
        <f t="shared" si="0"/>
      </c>
      <c r="L11" s="17"/>
      <c r="M11" s="17"/>
      <c r="N11" s="46"/>
      <c r="O11" s="44"/>
      <c r="P11" s="46"/>
      <c r="Q11" s="44"/>
      <c r="R11" s="44"/>
      <c r="S11" s="44"/>
    </row>
    <row r="12" spans="2:18" ht="18" customHeight="1">
      <c r="B12" s="267">
        <f>IF(OR(G6="error - 1",G7="error - 1",G8="error - 1",G9="error - 1",G10="error - 1",G11="error - 1"),"error : Incorrect Material Code.  Too few digits.  Minimum 7.","")</f>
      </c>
      <c r="E12" s="486" t="s">
        <v>0</v>
      </c>
      <c r="F12" s="284">
        <f>IF(MID(B6,4,1)="C",F6,0)+IF(MID(B7,4,1)="C",F7,0)+IF(MID(B8,4,1)="C",F8,0)+IF(MID(B9,4,1)="C",F9,0)+IF(MID(B10,4,1)="C",F10,0)+IF(MID(B11,4,1)="C",F11,0)</f>
        <v>100</v>
      </c>
      <c r="K12" s="17"/>
      <c r="L12" s="17"/>
      <c r="M12" s="46"/>
      <c r="N12" s="46"/>
      <c r="O12" s="44"/>
      <c r="P12" s="46"/>
      <c r="Q12" s="44"/>
      <c r="R12" s="44"/>
    </row>
    <row r="13" spans="1:18" ht="18" customHeight="1" thickBot="1">
      <c r="A13" s="15"/>
      <c r="B13" s="267">
        <f>IF(OR(G6="error - 2",G7="error - 2",G8="error - 2",G9="error - 2",G10="error - 2",G11="error - 2"),"error : Incorrect Material Code.  The fourth character shall be an 'F' or 'C'.","")</f>
      </c>
      <c r="E13" s="486" t="s">
        <v>1</v>
      </c>
      <c r="F13" s="285">
        <f>IF(MID(B6,4,1)="F",F6,0)+IF(MID(B7,4,1)="F",F7,0)+IF(MID(B8,4,1)="F",F8,0)+IF(MID(B9,4,1)="F",F9,0)+IF(MID(B10,4,1)="F",F10,0)+IF(MID(B11,4,1)="F",F11,0)</f>
        <v>100</v>
      </c>
      <c r="K13" s="17"/>
      <c r="L13" s="17"/>
      <c r="M13" s="46"/>
      <c r="N13" s="44"/>
      <c r="O13" s="44"/>
      <c r="P13" s="44"/>
      <c r="Q13" s="44"/>
      <c r="R13" s="44"/>
    </row>
    <row r="14" spans="2:18" ht="18" customHeight="1">
      <c r="B14" s="17"/>
      <c r="C14" s="17"/>
      <c r="D14" s="483" t="s">
        <v>395</v>
      </c>
      <c r="E14" s="193"/>
      <c r="G14" s="46"/>
      <c r="H14" s="46"/>
      <c r="I14" s="46"/>
      <c r="K14" s="17"/>
      <c r="L14" s="17"/>
      <c r="M14" s="46"/>
      <c r="N14" s="44"/>
      <c r="O14" s="44"/>
      <c r="P14" s="44"/>
      <c r="Q14" s="44"/>
      <c r="R14" s="44"/>
    </row>
    <row r="15" spans="2:18" ht="15">
      <c r="B15" s="481"/>
      <c r="C15" s="87"/>
      <c r="D15" s="485" t="s">
        <v>396</v>
      </c>
      <c r="E15" s="484">
        <v>0.39</v>
      </c>
      <c r="G15" s="143"/>
      <c r="M15" s="46"/>
      <c r="N15" s="44"/>
      <c r="O15" s="44"/>
      <c r="P15" s="44"/>
      <c r="Q15" s="44"/>
      <c r="R15" s="44"/>
    </row>
    <row r="16" spans="2:18" ht="15" customHeight="1" thickBot="1">
      <c r="B16" s="8"/>
      <c r="C16" s="17"/>
      <c r="D16" s="473"/>
      <c r="E16" s="482">
        <f>IF(OR('Design Info'!R12="21621",F12=0),"For CLSM or designs w/o CA, enter 1","")</f>
      </c>
      <c r="G16" s="87"/>
      <c r="M16" s="46"/>
      <c r="N16" s="44"/>
      <c r="O16" s="44"/>
      <c r="P16" s="44"/>
      <c r="Q16" s="44"/>
      <c r="R16" s="44"/>
    </row>
    <row r="17" spans="5:18" ht="15" customHeight="1">
      <c r="E17" s="289"/>
      <c r="F17" s="289"/>
      <c r="G17" s="87"/>
      <c r="M17" s="46"/>
      <c r="N17" s="44"/>
      <c r="O17" s="44"/>
      <c r="P17" s="44"/>
      <c r="Q17" s="44"/>
      <c r="R17" s="44"/>
    </row>
    <row r="18" spans="8:18" ht="15" customHeight="1">
      <c r="H18" s="3"/>
      <c r="M18" s="44"/>
      <c r="N18" s="44"/>
      <c r="O18" s="44"/>
      <c r="P18" s="44"/>
      <c r="Q18" s="44"/>
      <c r="R18" s="44"/>
    </row>
    <row r="19" spans="8:18" ht="15" customHeight="1">
      <c r="H19" s="3"/>
      <c r="N19" s="44"/>
      <c r="O19" s="44"/>
      <c r="P19" s="44"/>
      <c r="Q19" s="44"/>
      <c r="R19" s="44"/>
    </row>
    <row r="20" spans="8:18" ht="15.75" customHeight="1">
      <c r="H20" s="3"/>
      <c r="N20" s="44"/>
      <c r="O20" s="44"/>
      <c r="P20" s="44"/>
      <c r="Q20" s="44"/>
      <c r="R20" s="44"/>
    </row>
    <row r="21" spans="8:18" ht="15">
      <c r="H21" s="3"/>
      <c r="M21" s="87"/>
      <c r="N21" s="44"/>
      <c r="O21" s="44"/>
      <c r="P21" s="44"/>
      <c r="Q21" s="44"/>
      <c r="R21" s="44"/>
    </row>
    <row r="22" spans="8:18" ht="15.75" customHeight="1">
      <c r="H22" s="3"/>
      <c r="N22" s="44"/>
      <c r="O22" s="44"/>
      <c r="P22" s="44"/>
      <c r="Q22" s="44"/>
      <c r="R22" s="44"/>
    </row>
    <row r="23" spans="8:18" ht="15.75" customHeight="1">
      <c r="H23" s="3"/>
      <c r="N23" s="44"/>
      <c r="O23" s="44"/>
      <c r="P23" s="44"/>
      <c r="Q23" s="44"/>
      <c r="R23" s="44"/>
    </row>
    <row r="24" ht="15.75" customHeight="1">
      <c r="H24" s="3"/>
    </row>
    <row r="28" spans="3:9" ht="15" hidden="1">
      <c r="C28" s="17"/>
      <c r="D28" s="17"/>
      <c r="E28" s="17"/>
      <c r="G28" s="3" t="s">
        <v>84</v>
      </c>
      <c r="I28" s="44"/>
    </row>
    <row r="29" spans="3:11" ht="15" hidden="1">
      <c r="C29" s="17"/>
      <c r="D29" s="17"/>
      <c r="E29" s="17"/>
      <c r="G29" s="142" t="s">
        <v>85</v>
      </c>
      <c r="H29" s="142" t="s">
        <v>87</v>
      </c>
      <c r="J29" s="142" t="s">
        <v>86</v>
      </c>
      <c r="K29" s="142" t="s">
        <v>87</v>
      </c>
    </row>
    <row r="30" spans="3:11" ht="15" hidden="1">
      <c r="C30" s="46"/>
      <c r="D30" s="46"/>
      <c r="E30" s="46"/>
      <c r="F30" s="150">
        <f>IF(AND($K$23&gt;=15.6,$K$23&lt;18.3),"X","")</f>
      </c>
      <c r="G30" s="237">
        <f>1009.45444444-($K$23*(0.47/2.7))</f>
        <v>1009.45444444</v>
      </c>
      <c r="H30" s="238" t="s">
        <v>94</v>
      </c>
      <c r="I30" s="150">
        <f>IF(AND($K$23&gt;=60,$K$23&lt;65),"X","")</f>
      </c>
      <c r="J30" s="149">
        <f>62.726-($K$23*(0.03/5))</f>
        <v>62.726</v>
      </c>
      <c r="K30" s="238" t="s">
        <v>88</v>
      </c>
    </row>
    <row r="31" spans="3:11" ht="15" hidden="1">
      <c r="C31" s="46"/>
      <c r="D31" s="46"/>
      <c r="E31" s="46"/>
      <c r="F31" s="150">
        <f>IF(AND($K$23&gt;=18.3,$K$23&lt;21.1),"X","")</f>
      </c>
      <c r="G31" s="237">
        <f>1002.265357-($K$23*(0.57/2.8))</f>
        <v>1002.265357</v>
      </c>
      <c r="H31" s="238" t="s">
        <v>95</v>
      </c>
      <c r="I31" s="150">
        <f>IF(AND($K$23&gt;=65,$K$23&lt;70),"X","")</f>
      </c>
      <c r="J31" s="149">
        <f>62.791-($K$23*(0.035/5))</f>
        <v>62.791</v>
      </c>
      <c r="K31" s="238" t="s">
        <v>89</v>
      </c>
    </row>
    <row r="32" spans="3:11" ht="15" hidden="1">
      <c r="C32" s="46"/>
      <c r="D32" s="46"/>
      <c r="E32" s="46"/>
      <c r="F32" s="150">
        <f>IF(AND($K$23&gt;=21.1,$K$23&lt;23),"X","")</f>
      </c>
      <c r="G32" s="237">
        <f>1002.745263-($K$23*(0.43/1.9))</f>
        <v>1002.745263</v>
      </c>
      <c r="H32" s="238" t="s">
        <v>96</v>
      </c>
      <c r="I32" s="150">
        <f>IF(AND($K$23&gt;=70,$K$23&lt;73.4),"X","")</f>
      </c>
      <c r="J32" s="149">
        <f>62.85688235-($K$23*(0.027/3.4))</f>
        <v>62.85688235</v>
      </c>
      <c r="K32" s="238" t="s">
        <v>90</v>
      </c>
    </row>
    <row r="33" spans="3:11" ht="15" hidden="1">
      <c r="C33" s="46"/>
      <c r="D33" s="46"/>
      <c r="E33" s="46"/>
      <c r="F33" s="150">
        <f>IF(AND($K$23&gt;=23,$K$23&lt;23.9),"X","")</f>
      </c>
      <c r="G33" s="237">
        <f>1003.16222222-($K$23*(0.22/0.9))</f>
        <v>1003.16222222</v>
      </c>
      <c r="H33" s="238" t="s">
        <v>97</v>
      </c>
      <c r="I33" s="150">
        <f>IF(AND($K$23&gt;=73.4,$K$23&lt;75),"X","")</f>
      </c>
      <c r="J33" s="149">
        <f>62.870375-($K$23*(0.013/1.6))</f>
        <v>62.870375</v>
      </c>
      <c r="K33" s="238" t="s">
        <v>91</v>
      </c>
    </row>
    <row r="34" spans="2:11" ht="15" hidden="1">
      <c r="B34" s="17"/>
      <c r="C34" s="46"/>
      <c r="D34" s="46"/>
      <c r="E34" s="46"/>
      <c r="F34" s="150">
        <f>IF(AND($K$23&gt;=23.9,$K$23&lt;26.7),"X","")</f>
      </c>
      <c r="G34" s="237">
        <f>1003.551071-($K$23*(0.73/2.8))</f>
        <v>1003.551071</v>
      </c>
      <c r="H34" s="238" t="s">
        <v>98</v>
      </c>
      <c r="I34" s="150">
        <f>IF(AND($K$23&gt;=75,$K$23&lt;80),"X","")</f>
      </c>
      <c r="J34" s="149">
        <f>63.9485-($K$23*(0.045/5))</f>
        <v>63.9485</v>
      </c>
      <c r="K34" s="238" t="s">
        <v>92</v>
      </c>
    </row>
    <row r="35" spans="2:11" ht="15" hidden="1">
      <c r="B35" s="17"/>
      <c r="C35" s="46"/>
      <c r="D35" s="46"/>
      <c r="E35" s="46"/>
      <c r="F35" s="150">
        <f>IF(AND($K$23&gt;=26.7,$K$23&lt;29.4),"X","")</f>
      </c>
      <c r="G35" s="237">
        <f>1004.10555555-($K$23*(0.76/2.7))</f>
        <v>1004.10555555</v>
      </c>
      <c r="H35" s="238" t="s">
        <v>99</v>
      </c>
      <c r="I35" s="150">
        <f>IF(AND($K$23&gt;=80,$K$23&lt;85),"X","")</f>
      </c>
      <c r="J35" s="149">
        <f>63.016-($K$23*(0.05/5))</f>
        <v>63.016</v>
      </c>
      <c r="K35" s="238" t="s">
        <v>93</v>
      </c>
    </row>
    <row r="36" spans="7:8" ht="15">
      <c r="G36" s="17"/>
      <c r="H36" s="3"/>
    </row>
    <row r="37" ht="15">
      <c r="H37" s="3"/>
    </row>
    <row r="38" ht="15">
      <c r="H38" s="3"/>
    </row>
    <row r="39" ht="15">
      <c r="H39" s="3"/>
    </row>
    <row r="40" ht="15">
      <c r="H40" s="3"/>
    </row>
    <row r="41" ht="15">
      <c r="H41" s="3"/>
    </row>
    <row r="42" ht="15">
      <c r="H42" s="3"/>
    </row>
    <row r="43" ht="15">
      <c r="H43" s="3"/>
    </row>
    <row r="111" ht="15">
      <c r="O111" s="3">
        <v>1</v>
      </c>
    </row>
  </sheetData>
  <sheetProtection password="EE35" sheet="1"/>
  <mergeCells count="1">
    <mergeCell ref="F1:H3"/>
  </mergeCells>
  <printOptions/>
  <pageMargins left="0.75" right="0.75" top="1" bottom="1" header="0.5" footer="0.5"/>
  <pageSetup horizontalDpi="600" verticalDpi="600" orientation="landscape" scale="9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29"/>
  <sheetViews>
    <sheetView showGridLines="0" showRowColHeaders="0" showZeros="0" zoomScalePageLayoutView="0" workbookViewId="0" topLeftCell="A1">
      <selection activeCell="D5" sqref="D5"/>
    </sheetView>
  </sheetViews>
  <sheetFormatPr defaultColWidth="8.796875" defaultRowHeight="15.75"/>
  <cols>
    <col min="1" max="1" width="3.69921875" style="3" customWidth="1"/>
    <col min="2" max="2" width="9.796875" style="3" customWidth="1"/>
    <col min="3" max="3" width="10.69921875" style="3" customWidth="1"/>
    <col min="4" max="4" width="7.59765625" style="3" customWidth="1"/>
    <col min="5" max="6" width="10.69921875" style="3" customWidth="1"/>
    <col min="7" max="8" width="6.69921875" style="3" customWidth="1"/>
    <col min="9" max="9" width="9.69921875" style="3" customWidth="1"/>
    <col min="10" max="10" width="5.69921875" style="3" customWidth="1"/>
    <col min="11" max="12" width="8.796875" style="3" customWidth="1"/>
    <col min="13" max="26" width="8.796875" style="3" hidden="1" customWidth="1"/>
    <col min="27" max="16384" width="8.796875" style="3" customWidth="1"/>
  </cols>
  <sheetData>
    <row r="1" spans="1:13" ht="21" customHeight="1">
      <c r="A1" s="21"/>
      <c r="B1" s="88"/>
      <c r="C1" s="69"/>
      <c r="J1" s="90"/>
      <c r="K1" s="91"/>
      <c r="L1" s="21"/>
      <c r="M1" s="21"/>
    </row>
    <row r="2" spans="1:14" ht="18" customHeight="1" thickBot="1">
      <c r="A2" s="224" t="s">
        <v>104</v>
      </c>
      <c r="B2" s="45" t="s">
        <v>337</v>
      </c>
      <c r="C2" s="38"/>
      <c r="D2" s="38"/>
      <c r="E2" s="38"/>
      <c r="F2" s="38"/>
      <c r="G2" s="38"/>
      <c r="H2" s="38"/>
      <c r="J2" s="17"/>
      <c r="K2" s="17"/>
      <c r="L2" s="17"/>
      <c r="N2" s="3" t="s">
        <v>157</v>
      </c>
    </row>
    <row r="3" spans="2:26" ht="18" customHeight="1">
      <c r="B3" s="568" t="s">
        <v>19</v>
      </c>
      <c r="C3" s="569"/>
      <c r="D3" s="204" t="s">
        <v>2</v>
      </c>
      <c r="E3" s="570" t="s">
        <v>2</v>
      </c>
      <c r="F3" s="569"/>
      <c r="G3" s="205" t="s">
        <v>41</v>
      </c>
      <c r="H3" s="441" t="s">
        <v>256</v>
      </c>
      <c r="I3" s="425" t="s">
        <v>342</v>
      </c>
      <c r="J3" s="17"/>
      <c r="K3" s="17"/>
      <c r="L3" s="17"/>
      <c r="M3" s="3">
        <v>1</v>
      </c>
      <c r="N3" s="6" t="s">
        <v>244</v>
      </c>
      <c r="O3" s="7"/>
      <c r="P3" s="7"/>
      <c r="Q3" s="18"/>
      <c r="R3" s="48">
        <v>2</v>
      </c>
      <c r="S3" s="3" t="str">
        <f>IF(R3=1,"",IF(Units=1,LEFT(VLOOKUP(R3,$M$3:$N$15,2,TRUE),5),LEFT(VLOOKUP(R3,$M$3:$N$15,2,TRUE),6)))</f>
        <v>37708</v>
      </c>
      <c r="T3" s="3">
        <v>1</v>
      </c>
      <c r="U3" s="6" t="s">
        <v>245</v>
      </c>
      <c r="V3" s="7"/>
      <c r="W3" s="7"/>
      <c r="X3" s="18"/>
      <c r="Y3" s="340">
        <v>3</v>
      </c>
      <c r="Z3" s="3" t="str">
        <f>IF(Y3=1,"",IF(Units=1,LEFT(VLOOKUP(Y3,$T$3:$U$6,2,TRUE),5),LEFT(VLOOKUP(Y3,$T$3:U$6,2,TRUE),6)))</f>
        <v>37801</v>
      </c>
    </row>
    <row r="4" spans="2:26" ht="18" customHeight="1">
      <c r="B4" s="573" t="s">
        <v>59</v>
      </c>
      <c r="C4" s="574"/>
      <c r="D4" s="206" t="s">
        <v>3</v>
      </c>
      <c r="E4" s="571" t="s">
        <v>4</v>
      </c>
      <c r="F4" s="572"/>
      <c r="G4" s="207" t="s">
        <v>42</v>
      </c>
      <c r="H4" s="442" t="s">
        <v>257</v>
      </c>
      <c r="I4" s="426" t="s">
        <v>343</v>
      </c>
      <c r="J4" s="17"/>
      <c r="K4" s="17"/>
      <c r="L4" s="17"/>
      <c r="M4" s="3">
        <v>2</v>
      </c>
      <c r="N4" s="490" t="str">
        <f>IF(Units=1,"37708 Type IL Limestone",P4)</f>
        <v>37708 Type IL Limestone</v>
      </c>
      <c r="O4" s="493"/>
      <c r="P4" s="491" t="s">
        <v>364</v>
      </c>
      <c r="Q4" s="4"/>
      <c r="R4" s="129"/>
      <c r="S4" s="17"/>
      <c r="T4" s="3">
        <v>2</v>
      </c>
      <c r="U4" s="9" t="s">
        <v>77</v>
      </c>
      <c r="V4" s="17"/>
      <c r="W4" s="17"/>
      <c r="X4" s="4"/>
      <c r="Y4" s="129"/>
      <c r="Z4" s="17"/>
    </row>
    <row r="5" spans="2:26" ht="18" customHeight="1">
      <c r="B5" s="263"/>
      <c r="C5" s="264"/>
      <c r="D5" s="231" t="s">
        <v>520</v>
      </c>
      <c r="E5" s="591" t="s">
        <v>522</v>
      </c>
      <c r="F5" s="592"/>
      <c r="G5" s="349">
        <v>3.15</v>
      </c>
      <c r="H5" s="443">
        <v>75</v>
      </c>
      <c r="I5" s="461"/>
      <c r="J5" s="17"/>
      <c r="K5" s="17"/>
      <c r="L5" s="17"/>
      <c r="M5" s="3">
        <v>3</v>
      </c>
      <c r="N5" s="490" t="str">
        <f>IF(Units=1,"37601 Type I, Portland",P5)</f>
        <v>37601 Type I, Portland</v>
      </c>
      <c r="O5" s="493"/>
      <c r="P5" s="491" t="s">
        <v>164</v>
      </c>
      <c r="Q5" s="4"/>
      <c r="R5" s="129"/>
      <c r="S5" s="17"/>
      <c r="T5" s="3">
        <v>3</v>
      </c>
      <c r="U5" s="160" t="str">
        <f>IF(Units=1,"37801 Fly Ash Class C",W5)</f>
        <v>37801 Fly Ash Class C</v>
      </c>
      <c r="V5" s="17"/>
      <c r="W5" s="159" t="s">
        <v>27</v>
      </c>
      <c r="X5" s="4"/>
      <c r="Y5" s="129"/>
      <c r="Z5" s="17"/>
    </row>
    <row r="6" spans="2:40" ht="18" customHeight="1">
      <c r="B6" s="263"/>
      <c r="C6" s="87"/>
      <c r="D6" s="330" t="s">
        <v>519</v>
      </c>
      <c r="E6" s="577" t="s">
        <v>521</v>
      </c>
      <c r="F6" s="578"/>
      <c r="G6" s="350">
        <v>2.61</v>
      </c>
      <c r="H6" s="444">
        <v>25</v>
      </c>
      <c r="I6" s="462"/>
      <c r="J6" s="17"/>
      <c r="K6" s="17"/>
      <c r="L6" s="17"/>
      <c r="M6" s="3">
        <v>4</v>
      </c>
      <c r="N6" s="490" t="str">
        <f>IF(Units=1,"37603 Type II, Portland",P6)</f>
        <v>37603 Type II, Portland</v>
      </c>
      <c r="O6" s="493"/>
      <c r="P6" s="491" t="s">
        <v>165</v>
      </c>
      <c r="Q6" s="4"/>
      <c r="R6" s="129"/>
      <c r="S6" s="17"/>
      <c r="T6" s="17">
        <v>4</v>
      </c>
      <c r="U6" s="161" t="str">
        <f>IF(Units=1,"37802 Fly Ash Class F",W6)</f>
        <v>37802 Fly Ash Class F</v>
      </c>
      <c r="V6" s="19"/>
      <c r="W6" s="162" t="s">
        <v>28</v>
      </c>
      <c r="X6" s="5"/>
      <c r="Y6" s="129"/>
      <c r="Z6" s="17"/>
      <c r="AA6" s="17"/>
      <c r="AB6" s="17"/>
      <c r="AC6" s="17"/>
      <c r="AD6" s="17"/>
      <c r="AE6" s="17"/>
      <c r="AF6" s="129"/>
      <c r="AI6" s="49"/>
      <c r="AJ6" s="17"/>
      <c r="AK6" s="49"/>
      <c r="AL6" s="17"/>
      <c r="AM6" s="129"/>
      <c r="AN6" s="17"/>
    </row>
    <row r="7" spans="2:38" ht="18" customHeight="1">
      <c r="B7" s="331"/>
      <c r="C7" s="332"/>
      <c r="D7" s="232"/>
      <c r="E7" s="593"/>
      <c r="F7" s="593"/>
      <c r="G7" s="349"/>
      <c r="H7" s="283"/>
      <c r="I7" s="438"/>
      <c r="J7" s="17"/>
      <c r="K7" s="17"/>
      <c r="L7" s="17"/>
      <c r="M7" s="3">
        <v>5</v>
      </c>
      <c r="N7" s="490" t="str">
        <f>IF(Units=1,"37605 Type III, Portland",P7)</f>
        <v>37605 Type III, Portland</v>
      </c>
      <c r="O7" s="493"/>
      <c r="P7" s="491" t="s">
        <v>166</v>
      </c>
      <c r="Q7" s="4"/>
      <c r="T7" s="3">
        <v>1</v>
      </c>
      <c r="U7" s="6" t="s">
        <v>246</v>
      </c>
      <c r="V7" s="7"/>
      <c r="W7" s="7"/>
      <c r="X7" s="18"/>
      <c r="Y7" s="340">
        <v>1</v>
      </c>
      <c r="Z7" s="3">
        <f>IF(Y7=1,"",IF(Units=1,LEFT(VLOOKUP(Y7,$T$7:$U$10,2,TRUE),5),LEFT(VLOOKUP(Y7,$T$7:U$10,2,TRUE),6)))</f>
      </c>
      <c r="AA7" s="17"/>
      <c r="AB7" s="49"/>
      <c r="AC7" s="17"/>
      <c r="AD7" s="49"/>
      <c r="AE7" s="17"/>
      <c r="AI7" s="49"/>
      <c r="AJ7" s="17"/>
      <c r="AK7" s="49"/>
      <c r="AL7" s="17"/>
    </row>
    <row r="8" spans="2:38" ht="18" customHeight="1" thickBot="1">
      <c r="B8" s="333"/>
      <c r="C8" s="334"/>
      <c r="D8" s="335"/>
      <c r="E8" s="579"/>
      <c r="F8" s="579"/>
      <c r="G8" s="351"/>
      <c r="H8" s="406"/>
      <c r="I8" s="439"/>
      <c r="J8" s="17"/>
      <c r="K8" s="17"/>
      <c r="L8" s="17"/>
      <c r="M8" s="3">
        <v>6</v>
      </c>
      <c r="N8" s="490" t="str">
        <f>IF(Units=1,"37607 Type IV, Portland",P8)</f>
        <v>37607 Type IV, Portland</v>
      </c>
      <c r="O8" s="493"/>
      <c r="P8" s="491" t="s">
        <v>167</v>
      </c>
      <c r="Q8" s="4"/>
      <c r="T8" s="3">
        <v>2</v>
      </c>
      <c r="U8" s="9" t="s">
        <v>77</v>
      </c>
      <c r="V8" s="17"/>
      <c r="W8" s="17"/>
      <c r="X8" s="4"/>
      <c r="Y8" s="129"/>
      <c r="AA8" s="17"/>
      <c r="AB8" s="49"/>
      <c r="AC8" s="17"/>
      <c r="AD8" s="49"/>
      <c r="AE8" s="17"/>
      <c r="AI8" s="49"/>
      <c r="AJ8" s="17"/>
      <c r="AK8" s="49"/>
      <c r="AL8" s="17"/>
    </row>
    <row r="9" spans="2:38" ht="24" customHeight="1">
      <c r="B9" s="548"/>
      <c r="C9" s="548"/>
      <c r="D9" s="548"/>
      <c r="E9" s="548"/>
      <c r="F9" s="548"/>
      <c r="G9" s="341"/>
      <c r="H9" s="342" t="str">
        <f>SUM(H5:H8)&amp;"%"</f>
        <v>100%</v>
      </c>
      <c r="J9" s="17"/>
      <c r="K9" s="17"/>
      <c r="L9" s="17"/>
      <c r="M9" s="3">
        <v>7</v>
      </c>
      <c r="N9" s="490" t="str">
        <f>IF(Units=1,"37608 Type V, Portland",P9)</f>
        <v>37608 Type V, Portland</v>
      </c>
      <c r="O9" s="493"/>
      <c r="P9" s="491" t="s">
        <v>168</v>
      </c>
      <c r="Q9" s="4"/>
      <c r="T9" s="3">
        <v>3</v>
      </c>
      <c r="U9" s="160" t="str">
        <f>IF(Units=1,"37821 GGBFS, Grade 100",W9)</f>
        <v>37821 GGBFS, Grade 100</v>
      </c>
      <c r="V9" s="17"/>
      <c r="W9" s="159" t="s">
        <v>29</v>
      </c>
      <c r="X9" s="4"/>
      <c r="Y9" s="129"/>
      <c r="AA9" s="17"/>
      <c r="AB9" s="49"/>
      <c r="AC9" s="17"/>
      <c r="AD9" s="49"/>
      <c r="AE9" s="17"/>
      <c r="AI9" s="49"/>
      <c r="AJ9" s="17"/>
      <c r="AK9" s="49"/>
      <c r="AL9" s="17"/>
    </row>
    <row r="10" spans="1:38" ht="18" customHeight="1" thickBot="1">
      <c r="A10" s="224" t="s">
        <v>105</v>
      </c>
      <c r="B10" s="54" t="s">
        <v>341</v>
      </c>
      <c r="I10" s="163"/>
      <c r="J10" s="17"/>
      <c r="K10" s="17"/>
      <c r="M10" s="3">
        <v>8</v>
      </c>
      <c r="N10" s="587" t="str">
        <f>IF(Units=1,"37701 Type IS Blast Furnace Slag",P10)</f>
        <v>37701 Type IS Blast Furnace Slag</v>
      </c>
      <c r="O10" s="588"/>
      <c r="P10" s="491" t="s">
        <v>161</v>
      </c>
      <c r="Q10" s="4"/>
      <c r="T10" s="17">
        <v>4</v>
      </c>
      <c r="U10" s="161" t="str">
        <f>IF(Units=1,"37822 GGBFS, Grade 120",W10)</f>
        <v>37822 GGBFS, Grade 120</v>
      </c>
      <c r="V10" s="19"/>
      <c r="W10" s="162" t="s">
        <v>30</v>
      </c>
      <c r="X10" s="5"/>
      <c r="AA10" s="17"/>
      <c r="AB10" s="49"/>
      <c r="AC10" s="17"/>
      <c r="AD10" s="49"/>
      <c r="AE10" s="17"/>
      <c r="AI10" s="49"/>
      <c r="AJ10" s="17"/>
      <c r="AK10" s="49"/>
      <c r="AL10" s="17"/>
    </row>
    <row r="11" spans="2:38" ht="18" customHeight="1">
      <c r="B11" s="560" t="s">
        <v>181</v>
      </c>
      <c r="C11" s="566" t="s">
        <v>149</v>
      </c>
      <c r="D11" s="567"/>
      <c r="E11" s="562" t="s">
        <v>513</v>
      </c>
      <c r="F11" s="563"/>
      <c r="G11" s="562" t="s">
        <v>54</v>
      </c>
      <c r="H11" s="563"/>
      <c r="I11" s="163"/>
      <c r="J11" s="17"/>
      <c r="K11" s="17"/>
      <c r="M11" s="3">
        <v>9</v>
      </c>
      <c r="N11" s="490" t="str">
        <f>IF(Units=1,"37703 Type IP Pozzolan",P11)</f>
        <v>37703 Type IP Pozzolan</v>
      </c>
      <c r="O11" s="493"/>
      <c r="P11" s="491" t="s">
        <v>162</v>
      </c>
      <c r="Q11" s="4"/>
      <c r="T11" s="3">
        <v>1</v>
      </c>
      <c r="U11" s="6" t="s">
        <v>247</v>
      </c>
      <c r="V11" s="7"/>
      <c r="W11" s="7"/>
      <c r="X11" s="18"/>
      <c r="Y11" s="48">
        <v>1</v>
      </c>
      <c r="Z11" s="3">
        <f>IF(Y11=1,"",IF(Units=1,LEFT(VLOOKUP(Y11,$T$11:$U$15,2,TRUE),5),LEFT(VLOOKUP(Y11,$T$11:U$15,2,TRUE),6)))</f>
      </c>
      <c r="AA11" s="17"/>
      <c r="AB11" s="49"/>
      <c r="AC11" s="17"/>
      <c r="AD11" s="49"/>
      <c r="AE11" s="17"/>
      <c r="AI11" s="49"/>
      <c r="AJ11" s="17"/>
      <c r="AK11" s="49"/>
      <c r="AL11" s="17"/>
    </row>
    <row r="12" spans="2:38" ht="18" customHeight="1" thickBot="1">
      <c r="B12" s="561"/>
      <c r="C12" s="583" t="s">
        <v>150</v>
      </c>
      <c r="D12" s="584"/>
      <c r="E12" s="564"/>
      <c r="F12" s="565"/>
      <c r="G12" s="564" t="s">
        <v>336</v>
      </c>
      <c r="H12" s="565"/>
      <c r="I12" s="163"/>
      <c r="J12" s="17"/>
      <c r="K12" s="17"/>
      <c r="M12" s="3">
        <v>10</v>
      </c>
      <c r="N12" s="587" t="str">
        <f>IF(Units=1,"37706 Type I (SM) Slag Modified",P12)</f>
        <v>37706 Type I (SM) Slag Modified</v>
      </c>
      <c r="O12" s="588"/>
      <c r="P12" s="491" t="s">
        <v>163</v>
      </c>
      <c r="Q12" s="4"/>
      <c r="T12" s="3">
        <v>2</v>
      </c>
      <c r="U12" s="9" t="s">
        <v>77</v>
      </c>
      <c r="V12" s="17"/>
      <c r="W12" s="17"/>
      <c r="X12" s="4"/>
      <c r="Y12" s="129"/>
      <c r="Z12" s="17"/>
      <c r="AA12" s="17"/>
      <c r="AB12" s="159"/>
      <c r="AC12" s="159"/>
      <c r="AD12" s="159"/>
      <c r="AE12" s="17"/>
      <c r="AI12" s="159"/>
      <c r="AJ12" s="159"/>
      <c r="AK12" s="159"/>
      <c r="AL12" s="17"/>
    </row>
    <row r="13" spans="2:38" ht="15.75" customHeight="1">
      <c r="B13" s="487">
        <v>42000</v>
      </c>
      <c r="C13" s="68"/>
      <c r="D13" s="17"/>
      <c r="E13" s="575" t="s">
        <v>558</v>
      </c>
      <c r="F13" s="576"/>
      <c r="G13" s="575"/>
      <c r="H13" s="576"/>
      <c r="I13" s="163"/>
      <c r="J13" s="140"/>
      <c r="K13" s="140"/>
      <c r="L13" s="140"/>
      <c r="M13" s="17">
        <v>11</v>
      </c>
      <c r="N13" s="587" t="str">
        <f>IF(Units=1,"37707 Type I (PM) Pozzolan Modified",P13)</f>
        <v>37707 Type I (PM) Pozzolan Modified</v>
      </c>
      <c r="O13" s="588"/>
      <c r="P13" s="491" t="s">
        <v>365</v>
      </c>
      <c r="Q13" s="4"/>
      <c r="T13" s="3">
        <v>3</v>
      </c>
      <c r="U13" s="160" t="str">
        <f>IF(Units=1,"37803 High React. Metakaolin",W13)</f>
        <v>37803 High React. Metakaolin</v>
      </c>
      <c r="V13" s="17"/>
      <c r="W13" s="159" t="s">
        <v>169</v>
      </c>
      <c r="X13" s="4"/>
      <c r="Y13" s="129"/>
      <c r="Z13" s="17"/>
      <c r="AA13" s="17"/>
      <c r="AB13" s="159"/>
      <c r="AC13" s="17"/>
      <c r="AD13" s="159"/>
      <c r="AE13" s="17"/>
      <c r="AI13" s="159"/>
      <c r="AJ13" s="17"/>
      <c r="AK13" s="159"/>
      <c r="AL13" s="17"/>
    </row>
    <row r="14" spans="2:38" ht="15.75" customHeight="1">
      <c r="B14" s="488">
        <v>43000</v>
      </c>
      <c r="C14" s="68"/>
      <c r="D14" s="17"/>
      <c r="E14" s="585" t="s">
        <v>559</v>
      </c>
      <c r="F14" s="586"/>
      <c r="G14" s="585"/>
      <c r="H14" s="586"/>
      <c r="I14" s="163"/>
      <c r="J14" s="140"/>
      <c r="K14" s="140"/>
      <c r="L14" s="140"/>
      <c r="M14" s="17">
        <v>12</v>
      </c>
      <c r="N14" s="587" t="str">
        <f>IF(Units=1,"37901 Rapid Hardening Cement",P14)</f>
        <v>37901 Rapid Hardening Cement</v>
      </c>
      <c r="O14" s="588"/>
      <c r="P14" s="491" t="s">
        <v>393</v>
      </c>
      <c r="Q14" s="4"/>
      <c r="T14" s="17">
        <v>4</v>
      </c>
      <c r="U14" s="160" t="str">
        <f>IF(Units=1,"37852 Microsilica",W14)</f>
        <v>37852 Microsilica</v>
      </c>
      <c r="V14" s="17"/>
      <c r="W14" s="159" t="s">
        <v>31</v>
      </c>
      <c r="X14" s="4"/>
      <c r="AA14" s="17"/>
      <c r="AB14" s="159"/>
      <c r="AC14" s="17"/>
      <c r="AD14" s="159"/>
      <c r="AE14" s="17"/>
      <c r="AI14" s="159"/>
      <c r="AJ14" s="17"/>
      <c r="AK14" s="159"/>
      <c r="AL14" s="17"/>
    </row>
    <row r="15" spans="2:38" ht="15.75" customHeight="1" thickBot="1">
      <c r="B15" s="488"/>
      <c r="C15" s="68"/>
      <c r="D15" s="17"/>
      <c r="E15" s="585"/>
      <c r="F15" s="586"/>
      <c r="G15" s="585"/>
      <c r="H15" s="586"/>
      <c r="I15" s="163"/>
      <c r="J15" s="140"/>
      <c r="K15" s="140"/>
      <c r="L15" s="140"/>
      <c r="M15" s="3">
        <v>13</v>
      </c>
      <c r="N15" s="589" t="str">
        <f>IF(Units=1,"37902 Calcium Aluminate Cement",P15)</f>
        <v>37902 Calcium Aluminate Cement</v>
      </c>
      <c r="O15" s="590"/>
      <c r="P15" s="492" t="s">
        <v>394</v>
      </c>
      <c r="Q15" s="5"/>
      <c r="T15" s="17">
        <v>5</v>
      </c>
      <c r="U15" s="161" t="str">
        <f>IF(Units=1,"37810 Type K Expansive Component",W15)</f>
        <v>37810 Type K Expansive Component</v>
      </c>
      <c r="V15" s="19"/>
      <c r="W15" s="162" t="s">
        <v>383</v>
      </c>
      <c r="X15" s="5"/>
      <c r="AA15" s="17"/>
      <c r="AB15" s="159"/>
      <c r="AC15" s="17"/>
      <c r="AD15" s="159"/>
      <c r="AE15" s="17"/>
      <c r="AH15" s="17"/>
      <c r="AI15" s="17"/>
      <c r="AJ15" s="17"/>
      <c r="AK15" s="17"/>
      <c r="AL15" s="17"/>
    </row>
    <row r="16" spans="2:38" ht="15.75" customHeight="1" thickBot="1">
      <c r="B16" s="489"/>
      <c r="C16" s="261"/>
      <c r="D16" s="185"/>
      <c r="E16" s="582"/>
      <c r="F16" s="581"/>
      <c r="G16" s="580"/>
      <c r="H16" s="581"/>
      <c r="I16" s="163"/>
      <c r="J16" s="140"/>
      <c r="K16" s="140"/>
      <c r="L16" s="140"/>
      <c r="T16" s="17"/>
      <c r="U16" s="159"/>
      <c r="V16" s="17"/>
      <c r="W16" s="159"/>
      <c r="X16" s="17"/>
      <c r="AA16" s="17"/>
      <c r="AB16" s="17"/>
      <c r="AC16" s="17"/>
      <c r="AD16" s="17"/>
      <c r="AE16" s="17"/>
      <c r="AH16" s="17"/>
      <c r="AI16" s="17"/>
      <c r="AJ16" s="17"/>
      <c r="AK16" s="17"/>
      <c r="AL16" s="17"/>
    </row>
    <row r="17" spans="6:38" ht="15" customHeight="1">
      <c r="F17" s="455">
        <f>IF('Design Info'!R12="21606","Required &gt;&gt;","")</f>
      </c>
      <c r="G17" s="54" t="s">
        <v>355</v>
      </c>
      <c r="J17" s="140"/>
      <c r="K17" s="140"/>
      <c r="L17" s="140"/>
      <c r="N17" s="17" t="s">
        <v>21</v>
      </c>
      <c r="O17" s="17"/>
      <c r="P17" s="17"/>
      <c r="Q17" s="17"/>
      <c r="T17" s="17"/>
      <c r="U17" s="159"/>
      <c r="V17" s="17"/>
      <c r="W17" s="159"/>
      <c r="X17" s="17"/>
      <c r="AA17" s="17"/>
      <c r="AB17" s="17"/>
      <c r="AC17" s="17"/>
      <c r="AD17" s="17"/>
      <c r="AE17" s="17"/>
      <c r="AH17" s="17"/>
      <c r="AI17" s="159"/>
      <c r="AJ17" s="17"/>
      <c r="AK17" s="159"/>
      <c r="AL17" s="17"/>
    </row>
    <row r="18" spans="1:31" ht="15" customHeight="1">
      <c r="A18" s="224" t="s">
        <v>243</v>
      </c>
      <c r="B18" s="54" t="s">
        <v>356</v>
      </c>
      <c r="G18" s="3" t="s">
        <v>362</v>
      </c>
      <c r="I18" s="463"/>
      <c r="J18" s="140" t="str">
        <f>IF(Units=1,"gal/cu yd","L/cu m")</f>
        <v>gal/cu yd</v>
      </c>
      <c r="K18" s="140"/>
      <c r="L18" s="140"/>
      <c r="M18" s="3">
        <v>1</v>
      </c>
      <c r="N18" s="171" t="s">
        <v>77</v>
      </c>
      <c r="O18" s="18"/>
      <c r="P18" s="48">
        <v>2</v>
      </c>
      <c r="Q18" s="3" t="str">
        <f>IF(P18=1,"",IF(P18=2,"AEA",IF(P18=11,"Latex",IF(P18=12,"other",LEFT(VLOOKUP(P18,$M$18:$N$29,2,TRUE),1)))))</f>
        <v>AEA</v>
      </c>
      <c r="T18" s="17"/>
      <c r="U18" s="159"/>
      <c r="V18" s="17"/>
      <c r="W18" s="159"/>
      <c r="X18" s="17"/>
      <c r="AA18" s="17"/>
      <c r="AB18" s="17"/>
      <c r="AC18" s="17"/>
      <c r="AD18" s="17"/>
      <c r="AE18" s="17"/>
    </row>
    <row r="19" spans="2:17" ht="15" customHeight="1">
      <c r="B19" s="558" t="s">
        <v>560</v>
      </c>
      <c r="C19" s="558"/>
      <c r="D19" s="558"/>
      <c r="E19" s="558"/>
      <c r="G19" s="3" t="s">
        <v>353</v>
      </c>
      <c r="I19" s="229"/>
      <c r="K19" s="140"/>
      <c r="L19" s="140"/>
      <c r="M19" s="3">
        <v>2</v>
      </c>
      <c r="N19" s="160" t="s">
        <v>184</v>
      </c>
      <c r="O19" s="4"/>
      <c r="P19" s="48">
        <v>3</v>
      </c>
      <c r="Q19" s="3" t="str">
        <f>IF(P19=1,"",IF(P19=2,"AEA",IF(P19=11,"Latex",IF(P19=12,"other",LEFT(VLOOKUP(P19,$M$18:$N$29,2,TRUE),1)))))</f>
        <v>A</v>
      </c>
    </row>
    <row r="20" spans="2:17" ht="15" customHeight="1">
      <c r="B20" s="559"/>
      <c r="C20" s="559"/>
      <c r="D20" s="559"/>
      <c r="E20" s="559"/>
      <c r="G20" s="3" t="s">
        <v>354</v>
      </c>
      <c r="I20" s="460"/>
      <c r="J20" s="3" t="s">
        <v>113</v>
      </c>
      <c r="M20" s="3">
        <v>3</v>
      </c>
      <c r="N20" s="160" t="s">
        <v>185</v>
      </c>
      <c r="O20" s="4"/>
      <c r="P20" s="48">
        <v>1</v>
      </c>
      <c r="Q20" s="3">
        <f>IF(P20=1,"",IF(P20=2,"AEA",IF(P20=11,"Latex",IF(P20=12,"other",LEFT(VLOOKUP(P20,$M$18:$N$29,2,TRUE),1)))))</f>
      </c>
    </row>
    <row r="21" spans="13:17" ht="15">
      <c r="M21" s="3">
        <v>4</v>
      </c>
      <c r="N21" s="160" t="s">
        <v>186</v>
      </c>
      <c r="O21" s="4"/>
      <c r="P21" s="48">
        <v>1</v>
      </c>
      <c r="Q21" s="3">
        <f>IF(P21=1,"",IF(P21=2,"AEA",IF(P21=11,"Latex",IF(P21=12,"other",LEFT(VLOOKUP(P21,$M$18:$N$29,2,TRUE),1)))))</f>
      </c>
    </row>
    <row r="22" spans="13:16" ht="15">
      <c r="M22" s="3">
        <v>5</v>
      </c>
      <c r="N22" s="160" t="s">
        <v>187</v>
      </c>
      <c r="O22" s="4"/>
      <c r="P22" s="6"/>
    </row>
    <row r="23" spans="13:15" ht="15">
      <c r="M23" s="3">
        <v>6</v>
      </c>
      <c r="N23" s="160" t="s">
        <v>172</v>
      </c>
      <c r="O23" s="4"/>
    </row>
    <row r="24" spans="13:15" ht="15">
      <c r="M24" s="3">
        <v>7</v>
      </c>
      <c r="N24" s="160" t="s">
        <v>173</v>
      </c>
      <c r="O24" s="4"/>
    </row>
    <row r="25" spans="13:15" ht="15">
      <c r="M25" s="3">
        <v>8</v>
      </c>
      <c r="N25" s="160" t="s">
        <v>160</v>
      </c>
      <c r="O25" s="4"/>
    </row>
    <row r="26" spans="13:15" ht="15">
      <c r="M26" s="3">
        <v>9</v>
      </c>
      <c r="N26" s="160" t="s">
        <v>174</v>
      </c>
      <c r="O26" s="4"/>
    </row>
    <row r="27" spans="13:15" ht="15">
      <c r="M27" s="3">
        <v>10</v>
      </c>
      <c r="N27" s="160" t="s">
        <v>289</v>
      </c>
      <c r="O27" s="4"/>
    </row>
    <row r="28" spans="13:15" ht="15">
      <c r="M28" s="3">
        <v>11</v>
      </c>
      <c r="N28" s="160" t="s">
        <v>235</v>
      </c>
      <c r="O28" s="4"/>
    </row>
    <row r="29" spans="13:15" ht="15">
      <c r="M29" s="3">
        <v>12</v>
      </c>
      <c r="N29" s="161" t="s">
        <v>83</v>
      </c>
      <c r="O29" s="5"/>
    </row>
  </sheetData>
  <sheetProtection password="EE35" sheet="1"/>
  <mergeCells count="30">
    <mergeCell ref="N10:O10"/>
    <mergeCell ref="N12:O12"/>
    <mergeCell ref="N13:O13"/>
    <mergeCell ref="N14:O14"/>
    <mergeCell ref="N15:O15"/>
    <mergeCell ref="E5:F5"/>
    <mergeCell ref="G12:H12"/>
    <mergeCell ref="E7:F7"/>
    <mergeCell ref="G15:H15"/>
    <mergeCell ref="G16:H16"/>
    <mergeCell ref="E16:F16"/>
    <mergeCell ref="C12:D12"/>
    <mergeCell ref="G11:H11"/>
    <mergeCell ref="E14:F14"/>
    <mergeCell ref="G13:H13"/>
    <mergeCell ref="G14:H14"/>
    <mergeCell ref="E15:F15"/>
    <mergeCell ref="B3:C3"/>
    <mergeCell ref="E3:F3"/>
    <mergeCell ref="E4:F4"/>
    <mergeCell ref="B4:C4"/>
    <mergeCell ref="E13:F13"/>
    <mergeCell ref="E6:F6"/>
    <mergeCell ref="E8:F8"/>
    <mergeCell ref="B19:E19"/>
    <mergeCell ref="B20:E20"/>
    <mergeCell ref="B11:B12"/>
    <mergeCell ref="E11:F11"/>
    <mergeCell ref="E12:F12"/>
    <mergeCell ref="C11:D11"/>
  </mergeCells>
  <conditionalFormatting sqref="F17">
    <cfRule type="cellIs" priority="1" dxfId="9" operator="equal" stopIfTrue="1">
      <formula>"Required &gt;&gt;"</formula>
    </cfRule>
  </conditionalFormatting>
  <printOptions/>
  <pageMargins left="0.75" right="0.75" top="1" bottom="1" header="0.5" footer="0.5"/>
  <pageSetup horizontalDpi="600" verticalDpi="600" orientation="landscape" scale="12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51"/>
  <sheetViews>
    <sheetView showGridLines="0" zoomScale="102" zoomScaleNormal="102" zoomScalePageLayoutView="0" workbookViewId="0" topLeftCell="A1">
      <selection activeCell="O37" sqref="O37"/>
    </sheetView>
  </sheetViews>
  <sheetFormatPr defaultColWidth="9.69921875" defaultRowHeight="15.75"/>
  <cols>
    <col min="1" max="1" width="6.59765625" style="3" customWidth="1"/>
    <col min="2" max="3" width="5.69921875" style="3" customWidth="1"/>
    <col min="4" max="4" width="6.09765625" style="3" customWidth="1"/>
    <col min="5" max="6" width="6.69921875" style="3" customWidth="1"/>
    <col min="7" max="7" width="11.69921875" style="3" customWidth="1"/>
    <col min="8" max="9" width="7.69921875" style="3" customWidth="1"/>
    <col min="10" max="10" width="6.69921875" style="3" customWidth="1"/>
    <col min="11" max="13" width="7.69921875" style="3" customWidth="1"/>
    <col min="14" max="14" width="10.69921875" style="3" customWidth="1"/>
    <col min="15" max="15" width="11.19921875" style="3" customWidth="1"/>
    <col min="16" max="16" width="9.09765625" style="3" customWidth="1"/>
    <col min="17" max="18" width="9.69921875" style="3" customWidth="1"/>
    <col min="19" max="19" width="9.69921875" style="21" customWidth="1"/>
    <col min="20" max="25" width="9.69921875" style="3" customWidth="1"/>
    <col min="26" max="26" width="5.19921875" style="3" customWidth="1"/>
    <col min="27" max="27" width="9.69921875" style="3" customWidth="1"/>
    <col min="28" max="28" width="7.296875" style="3" customWidth="1"/>
    <col min="29" max="34" width="3.69921875" style="3" customWidth="1"/>
    <col min="35" max="16384" width="9.69921875" style="3" customWidth="1"/>
  </cols>
  <sheetData>
    <row r="1" spans="1:27" ht="15">
      <c r="A1" s="93" t="s">
        <v>25</v>
      </c>
      <c r="B1" s="92"/>
      <c r="C1" s="21"/>
      <c r="E1" s="152"/>
      <c r="F1" s="104"/>
      <c r="H1" s="92"/>
      <c r="I1" s="105"/>
      <c r="J1" s="104"/>
      <c r="K1" s="105"/>
      <c r="L1" s="104"/>
      <c r="M1" s="105"/>
      <c r="O1" s="286" t="str">
        <f>'Design Info'!J1</f>
        <v>Version X1.0</v>
      </c>
      <c r="Q1" s="17"/>
      <c r="T1" s="3" t="s">
        <v>80</v>
      </c>
      <c r="W1" s="3" t="s">
        <v>81</v>
      </c>
      <c r="AA1" s="87"/>
    </row>
    <row r="2" spans="1:24" ht="15">
      <c r="A2" s="92"/>
      <c r="B2" s="92"/>
      <c r="C2" s="92"/>
      <c r="D2" s="92"/>
      <c r="E2" s="92"/>
      <c r="F2" s="92"/>
      <c r="G2" s="270"/>
      <c r="H2" s="92"/>
      <c r="I2" s="92"/>
      <c r="J2" s="92"/>
      <c r="K2" s="92"/>
      <c r="L2" s="92"/>
      <c r="M2" s="92"/>
      <c r="N2" s="92"/>
      <c r="Q2" s="256" t="s">
        <v>158</v>
      </c>
      <c r="R2" s="17"/>
      <c r="T2" s="149">
        <f>IF(Variables!$C$11=5.1,0.426,IF(Variables!$C$11=5.3,0.442,IF(Variables!$C$11=5.5,0.459,ROUND(Variables!$C$11/11.98,3))))</f>
        <v>0.035</v>
      </c>
      <c r="U2" s="17" t="s">
        <v>78</v>
      </c>
      <c r="W2" s="149">
        <f>IF(Variables!$C$12=0.2,0.017,Variables!$C$12/11.98)</f>
        <v>0</v>
      </c>
      <c r="X2" s="3" t="s">
        <v>78</v>
      </c>
    </row>
    <row r="3" spans="1:24" ht="15">
      <c r="A3" s="92" t="s">
        <v>350</v>
      </c>
      <c r="B3" s="92"/>
      <c r="C3" s="102" t="e">
        <f>IF(#REF!="","Not Assigned",UPPER(#REF!))</f>
        <v>#REF!</v>
      </c>
      <c r="D3" s="103"/>
      <c r="E3" s="21"/>
      <c r="F3" s="101" t="s">
        <v>32</v>
      </c>
      <c r="G3" s="157">
        <f>$T$10</f>
        <v>21605</v>
      </c>
      <c r="H3" s="92" t="str">
        <f>$U$10</f>
        <v>CONCRETE PC FLYASH</v>
      </c>
      <c r="I3" s="92"/>
      <c r="J3" s="92"/>
      <c r="K3" s="92"/>
      <c r="L3" s="116"/>
      <c r="M3" s="101" t="s">
        <v>145</v>
      </c>
      <c r="N3" s="525" t="e">
        <f>IF(#REF!="","",#REF!)</f>
        <v>#REF!</v>
      </c>
      <c r="O3" s="273"/>
      <c r="Q3" s="257">
        <v>1</v>
      </c>
      <c r="T3" s="150">
        <f>IF(Variables!$C$11=0.426,5.1,IF(Variables!$C$11=0.442,5.3,IF(Variables!$C$11=0.459,5.5,ROUND(Variables!$C$11*11.98,1))))</f>
        <v>5</v>
      </c>
      <c r="U3" s="20" t="s">
        <v>79</v>
      </c>
      <c r="W3" s="149">
        <f>IF(Variables!$C$12=0.017,0.2,Variables!$C$12*11.98)</f>
        <v>0</v>
      </c>
      <c r="X3" s="3" t="s">
        <v>79</v>
      </c>
    </row>
    <row r="4" spans="1:23" ht="15">
      <c r="A4" s="168" t="s">
        <v>351</v>
      </c>
      <c r="B4" s="92"/>
      <c r="C4" s="102" t="str">
        <f>IF('Design Info'!D3="","",UPPER('Design Info'!D3))</f>
        <v>PMC0001PV</v>
      </c>
      <c r="D4" s="103"/>
      <c r="E4" s="21"/>
      <c r="F4" s="101" t="s">
        <v>33</v>
      </c>
      <c r="G4" s="271" t="str">
        <f>IF('Design Info'!O3="","",'Design Info'!O3)</f>
        <v>PV </v>
      </c>
      <c r="H4" s="92"/>
      <c r="I4" s="92"/>
      <c r="J4" s="101"/>
      <c r="K4" s="17"/>
      <c r="L4" s="21"/>
      <c r="M4" s="101"/>
      <c r="N4" s="347"/>
      <c r="W4" s="3" t="s">
        <v>193</v>
      </c>
    </row>
    <row r="5" spans="1:23" ht="15.75" customHeight="1">
      <c r="A5" s="92" t="s">
        <v>109</v>
      </c>
      <c r="B5" s="249">
        <f>$T$6</f>
        <v>91</v>
      </c>
      <c r="C5" s="201" t="str">
        <f>$U$6</f>
        <v>DISTRICT 1</v>
      </c>
      <c r="D5" s="92"/>
      <c r="E5" s="153"/>
      <c r="F5" s="86"/>
      <c r="G5" s="236"/>
      <c r="H5" s="21"/>
      <c r="L5" s="101" t="s">
        <v>34</v>
      </c>
      <c r="M5" s="597" t="e">
        <f>IF(#REF!="","",#REF!)</f>
        <v>#REF!</v>
      </c>
      <c r="N5" s="597"/>
      <c r="Q5" s="17"/>
      <c r="R5" s="17"/>
      <c r="T5" s="3" t="s">
        <v>40</v>
      </c>
      <c r="W5" s="149">
        <f>IF(OR('Design Info'!R12="21620",'Design Info'!R12="21621",'Agg. Info'!F12=0),1,'Agg. Info'!E15)</f>
        <v>0.39</v>
      </c>
    </row>
    <row r="6" spans="1:23" ht="15" customHeight="1">
      <c r="A6" s="86"/>
      <c r="B6" s="86"/>
      <c r="C6" s="86"/>
      <c r="D6" s="153"/>
      <c r="E6" s="153"/>
      <c r="F6" s="86"/>
      <c r="G6" s="236"/>
      <c r="H6" s="153"/>
      <c r="I6" s="153"/>
      <c r="J6" s="21"/>
      <c r="K6" s="21"/>
      <c r="L6" s="21"/>
      <c r="M6" s="21"/>
      <c r="N6" s="21"/>
      <c r="Q6" s="17"/>
      <c r="R6" s="17"/>
      <c r="T6" s="23">
        <f>IF('Design Info'!$M$13=1,"",LOOKUP("X",V13:V23,T13:T23))</f>
        <v>91</v>
      </c>
      <c r="U6" s="24" t="str">
        <f>IF('Design Info'!$M$13=1,"",LOOKUP("X",V13:V23,U13:U23))</f>
        <v>DISTRICT 1</v>
      </c>
      <c r="W6" s="500" t="s">
        <v>488</v>
      </c>
    </row>
    <row r="7" spans="1:23" ht="15">
      <c r="A7" s="27" t="s">
        <v>110</v>
      </c>
      <c r="B7" s="27"/>
      <c r="C7" s="27" t="s">
        <v>111</v>
      </c>
      <c r="D7" s="106" t="s">
        <v>112</v>
      </c>
      <c r="E7" s="27" t="s">
        <v>113</v>
      </c>
      <c r="F7" s="27" t="s">
        <v>107</v>
      </c>
      <c r="G7" s="27" t="s">
        <v>146</v>
      </c>
      <c r="H7" s="27" t="s">
        <v>114</v>
      </c>
      <c r="I7" s="601" t="s">
        <v>63</v>
      </c>
      <c r="J7" s="601"/>
      <c r="K7" s="601" t="str">
        <f>IF(Units=1,IF(Q3=1,"{GAL/CWT}","{L / KG}"),IF(Q3=1,"{GAL/CWT}","{L / KG}"))</f>
        <v>{GAL/CWT}</v>
      </c>
      <c r="L7" s="601"/>
      <c r="M7" s="601" t="s">
        <v>64</v>
      </c>
      <c r="N7" s="601"/>
      <c r="Q7" s="17"/>
      <c r="R7" s="17"/>
      <c r="T7" s="21"/>
      <c r="U7" s="21"/>
      <c r="W7" s="452" t="str">
        <f>LEFT('Design Info'!$O$3,2)</f>
        <v>PV</v>
      </c>
    </row>
    <row r="8" spans="1:23" ht="15">
      <c r="A8" s="27" t="str">
        <f>IF(Units=1,IF(Q3=1,"CU YD","CU M"),IF(Q3=1,"CU YD","CU M"))</f>
        <v>CU YD</v>
      </c>
      <c r="B8" s="27" t="s">
        <v>115</v>
      </c>
      <c r="C8" s="27" t="s">
        <v>116</v>
      </c>
      <c r="D8" s="106" t="s">
        <v>117</v>
      </c>
      <c r="E8" s="27" t="s">
        <v>118</v>
      </c>
      <c r="F8" s="27" t="s">
        <v>119</v>
      </c>
      <c r="G8" s="27" t="s">
        <v>126</v>
      </c>
      <c r="H8" s="27" t="s">
        <v>120</v>
      </c>
      <c r="I8" s="27" t="s">
        <v>121</v>
      </c>
      <c r="J8" s="106" t="s">
        <v>122</v>
      </c>
      <c r="K8" s="106" t="s">
        <v>122</v>
      </c>
      <c r="L8" s="27" t="s">
        <v>123</v>
      </c>
      <c r="M8" s="27" t="s">
        <v>108</v>
      </c>
      <c r="N8" s="106" t="s">
        <v>178</v>
      </c>
      <c r="Q8" s="17"/>
      <c r="R8" s="17"/>
      <c r="T8" s="21"/>
      <c r="U8" s="21"/>
      <c r="W8" s="452">
        <f>MID('Design Info'!$O$3,4,2)</f>
      </c>
    </row>
    <row r="9" spans="1:23" ht="15">
      <c r="A9" s="134">
        <v>1</v>
      </c>
      <c r="B9" s="494" t="s">
        <v>397</v>
      </c>
      <c r="C9" s="107">
        <f>IF(Variables!J3=1,Variables!$C$13,((0.442-H24)/0.442)*100)</f>
        <v>4.977375565610864</v>
      </c>
      <c r="D9" s="494" t="s">
        <v>397</v>
      </c>
      <c r="E9" s="242">
        <f>IF(Variables!C6="","",Variables!C6)</f>
        <v>6.5</v>
      </c>
      <c r="F9" s="243" t="str">
        <f>IF(W5=1,".01",RIGHT(FIXED(W5,2,TRUE),3))</f>
        <v>.39</v>
      </c>
      <c r="G9" s="235">
        <f>IF(Units=1,IF(Q3=1,Variables!C4,ROUNDUP(ROUND(Variables!C4*100*0.5935,0)/2.5,0)*2.5),IF(Q3=1,ROUNDUP(ROUND(Variables!C4*1.685,0)/5,0)*5/100,Variables!C4))</f>
        <v>5.35</v>
      </c>
      <c r="H9" s="108">
        <f>IF(OR('Design Info'!R12="21801",'Design Info'!R12="21803"),((1-M9)*(1-W5))/M9,IF(OR('Design Info'!R12="21620",'Design Info'!R12="21621",'Agg. Info'!F12=0),"1.00",Variables!C5))</f>
        <v>0.83</v>
      </c>
      <c r="I9" s="94" t="str">
        <f>IF('FDM &amp; Admix'!Y3=3,"C",IF('FDM &amp; Admix'!Y3=4,"F",""))</f>
        <v>C</v>
      </c>
      <c r="J9" s="94" t="str">
        <f>IF(Variables!J3=1,IF(Variables!M8=2,"A",IF(Variables!M8=3,"B",IF(Variables!M8=4,"C",""))),"B")</f>
        <v>B</v>
      </c>
      <c r="K9" s="134">
        <f>IF(Variables!J3=1,IF(Units=1,IF(Q3=1,Variables!$C$11,T2),IF(Q3=1,T3,Variables!$C$11)),IF(Q3=1,5.3,0.442))</f>
        <v>5.3</v>
      </c>
      <c r="L9" s="134">
        <f>IF(Variables!$C$12="",0,IF(Units=1,IF(Q3=1,Variables!$C$12,W2),IF(Q3=1,W3,Variables!$C$12)))</f>
        <v>0</v>
      </c>
      <c r="M9" s="360">
        <f>IF(OR('Design Info'!R12="21620",'Design Info'!R12="21621",'Agg. Info'!F12=0),"0.0000",IF('Design Info'!R12="21606",ROUND(1/(1+(H9/(1-W5))),4)-ROUND(Y28,4),IF(OR('Design Info'!R12="21801",'Design Info'!R12="21803"),IF(Q3=1,ROUND(('Agg. Info'!F12/100)*(1-SUM(R19:R24)),4),ROUND(('Agg. Info'!F12/100)*(1-SUM(S19:S24)),4)),IF(W5=1,"0.000",ROUND(1/(1+(H9/(1-W5))),4)))))</f>
        <v>0.4236</v>
      </c>
      <c r="N9" s="361">
        <f>IF(OR('Design Info'!R12="21801",'Design Info'!R12="21803"),IF(Q3=1,ROUND(('Agg. Info'!F13/100)*(1-SUM(R19:R24)),4),ROUND(('Agg. Info'!F13/100)*(1-SUM(S19:S24)),4)),IF('Design Info'!R12="21606",IF(Q3=1,ROUND(1-R26-Y29,4),ROUND(1-S26-Y29,4)),IF(Q3=1,ROUND(1-R26,4),ROUND(1-S26,4))))</f>
        <v>0.269</v>
      </c>
      <c r="Q9" s="17"/>
      <c r="R9" s="17"/>
      <c r="T9" s="3" t="s">
        <v>58</v>
      </c>
      <c r="W9" s="452">
        <f>MID('Design Info'!$O$3,7,2)</f>
      </c>
    </row>
    <row r="10" spans="1:23" ht="15.75" thickBot="1">
      <c r="A10" s="95"/>
      <c r="B10" s="21"/>
      <c r="C10" s="109"/>
      <c r="D10" s="355"/>
      <c r="E10" s="109"/>
      <c r="F10" s="241"/>
      <c r="G10" s="111"/>
      <c r="H10" s="112"/>
      <c r="I10" s="110"/>
      <c r="J10" s="110"/>
      <c r="K10" s="113"/>
      <c r="L10" s="113"/>
      <c r="M10" s="110"/>
      <c r="N10" s="369"/>
      <c r="Q10" s="17"/>
      <c r="R10" s="17"/>
      <c r="T10" s="23">
        <f>IF('Design Info'!$R$13=1,"",LOOKUP("X",V24:V51,T24:T51))</f>
        <v>21605</v>
      </c>
      <c r="U10" s="3" t="str">
        <f>IF('Design Info'!$R$13=1,"",LOOKUP("X",V24:V51,U24:U51))</f>
        <v>CONCRETE PC FLYASH</v>
      </c>
      <c r="W10" s="452">
        <f>MID('Design Info'!$O$3,10,2)</f>
      </c>
    </row>
    <row r="11" spans="1:28" ht="15">
      <c r="A11" s="96"/>
      <c r="B11" s="21"/>
      <c r="C11" s="21"/>
      <c r="D11" s="21"/>
      <c r="E11" s="21"/>
      <c r="F11" s="21"/>
      <c r="G11" s="114"/>
      <c r="H11" s="142"/>
      <c r="I11" s="21"/>
      <c r="J11" s="250"/>
      <c r="K11" s="84"/>
      <c r="L11" s="27" t="s">
        <v>176</v>
      </c>
      <c r="M11" s="598" t="str">
        <f>IF(Units=1,IF(Q3=1,"[LBS / CU YD]","[KG / CU M]"),IF(Q3=1,"[LBS / CU YD]","[KG / CU M]"))</f>
        <v>[LBS / CU YD]</v>
      </c>
      <c r="N11" s="599"/>
      <c r="O11" s="293" t="str">
        <f>IF(Units=1,IF(Q3=1,"[KG / CU M]","[LBS / CU YD]"),IF(Q3=1,"[KG / CU M]","[LBS / CU YD]"))</f>
        <v>[KG / CU M]</v>
      </c>
      <c r="Q11" s="17"/>
      <c r="R11" s="3" t="s">
        <v>124</v>
      </c>
      <c r="S11" s="21" t="s">
        <v>124</v>
      </c>
      <c r="T11" s="21" t="s">
        <v>125</v>
      </c>
      <c r="U11" s="21"/>
      <c r="V11" s="21"/>
      <c r="W11" s="452">
        <f>MID('Design Info'!$O$3,13,2)</f>
      </c>
      <c r="X11" s="21"/>
      <c r="Y11" s="21"/>
      <c r="AA11" s="445" t="s">
        <v>345</v>
      </c>
      <c r="AB11" s="37"/>
    </row>
    <row r="12" spans="1:33" ht="15.75" customHeight="1">
      <c r="A12" s="21" t="s">
        <v>127</v>
      </c>
      <c r="B12" s="21"/>
      <c r="C12" s="21" t="s">
        <v>128</v>
      </c>
      <c r="D12" s="21"/>
      <c r="E12" s="21" t="s">
        <v>129</v>
      </c>
      <c r="F12" s="21"/>
      <c r="G12" s="21"/>
      <c r="H12" s="142"/>
      <c r="I12" s="27" t="s">
        <v>130</v>
      </c>
      <c r="J12" s="600" t="s">
        <v>190</v>
      </c>
      <c r="K12" s="600"/>
      <c r="L12" s="27" t="s">
        <v>175</v>
      </c>
      <c r="M12" s="115" t="s">
        <v>131</v>
      </c>
      <c r="N12" s="292" t="s">
        <v>147</v>
      </c>
      <c r="O12" s="294" t="s">
        <v>147</v>
      </c>
      <c r="P12" s="53"/>
      <c r="Q12" s="25"/>
      <c r="R12" s="24" t="s">
        <v>179</v>
      </c>
      <c r="S12" s="26" t="s">
        <v>62</v>
      </c>
      <c r="T12" s="21" t="s">
        <v>132</v>
      </c>
      <c r="U12" s="21" t="s">
        <v>133</v>
      </c>
      <c r="V12" s="21"/>
      <c r="W12" s="200"/>
      <c r="X12" s="26"/>
      <c r="Y12" s="27"/>
      <c r="AA12" s="446" t="s">
        <v>180</v>
      </c>
      <c r="AB12" s="37"/>
      <c r="AF12" s="17"/>
      <c r="AG12" s="17"/>
    </row>
    <row r="13" spans="1:33" ht="15">
      <c r="A13" s="97" t="str">
        <f aca="true" t="shared" si="0" ref="A13:A18">UPPER(R32)</f>
        <v>027FA01</v>
      </c>
      <c r="B13" s="98"/>
      <c r="C13" s="97" t="str">
        <f>IF('Agg. Info'!C6="","",'Agg. Info'!C6)</f>
        <v>54321-01</v>
      </c>
      <c r="D13" s="98"/>
      <c r="E13" s="117" t="str">
        <f>IF('Agg. Info'!D6="","",UPPER('Agg. Info'!D6))</f>
        <v>LITTLE ROCKS CO.</v>
      </c>
      <c r="F13" s="118"/>
      <c r="G13" s="118"/>
      <c r="H13" s="408"/>
      <c r="I13" s="352">
        <f>IF(A13="","",ROUND('Agg. Info'!E6,3))</f>
        <v>2.66</v>
      </c>
      <c r="J13" s="594">
        <f>IF(Q13="","",IF(Q13="CA",'Agg. Info'!F6/'Agg. Info'!$F$12*100,'Agg. Info'!F6/'Agg. Info'!$F$13*100))</f>
        <v>100</v>
      </c>
      <c r="K13" s="595"/>
      <c r="L13" s="119" t="str">
        <f aca="true" t="shared" si="1" ref="L13:L18">IF(A13="","","--")</f>
        <v>--</v>
      </c>
      <c r="M13" s="120">
        <f aca="true" t="shared" si="2" ref="M13:M18">IF(A13="","",IF(Units=1,IF($Q$3=1,IF(Q13="CA",($M$9*I13*$Q$29)*(J13/100),($N$9*I13*$Q$29)*(J13/100)),IF(Q13="CA",($M$9*I13*1000)*(J13/100),($N$9*I13*1000)*(J13/100))),IF($Q$3=1,IF(Q13="CA",($M$9*I13*$Q$29)*(J13/100),($N$9*I13*$Q$29)*(J13/100)),IF(Q13="CA",($M$9*I13*1000)*(J13/100),($N$9*I13*1000)*(J13/100)))))</f>
        <v>1204.9622046000002</v>
      </c>
      <c r="N13" s="295">
        <f aca="true" t="shared" si="3" ref="N13:N18">IF(L13&lt;&gt;0,M13*(1+(L13/100)),M13)</f>
        <v>1204.9622046000002</v>
      </c>
      <c r="O13" s="298">
        <f>'Mix Report (metric)'!N13</f>
        <v>718.2</v>
      </c>
      <c r="P13" s="52"/>
      <c r="Q13" s="28" t="str">
        <f aca="true" t="shared" si="4" ref="Q13:Q18">IF(A13="","",IF(MID(A13,4,1)="C","CA",IF(MID(A13,4,1)="F","FA")))</f>
        <v>FA</v>
      </c>
      <c r="R13" s="253">
        <f aca="true" t="shared" si="5" ref="R13:R18">IF(Q13="CA",ROUND(M13/(I13*$Q$29),3),"")</f>
      </c>
      <c r="S13" s="254">
        <f aca="true" t="shared" si="6" ref="S13:S18">IF(Q13="CA",ROUND(M13/I13/1000,3),"")</f>
      </c>
      <c r="T13" s="29">
        <v>50</v>
      </c>
      <c r="U13" s="30" t="s">
        <v>39</v>
      </c>
      <c r="V13" s="31">
        <f>IF('Design Info'!$M$13=2,"X","")</f>
      </c>
      <c r="W13" s="200"/>
      <c r="X13" s="26"/>
      <c r="Y13" s="27"/>
      <c r="AA13" s="447"/>
      <c r="AB13" s="37"/>
      <c r="AF13" s="17"/>
      <c r="AG13" s="17"/>
    </row>
    <row r="14" spans="1:33" ht="15">
      <c r="A14" s="97" t="str">
        <f t="shared" si="0"/>
        <v>022CA07</v>
      </c>
      <c r="B14" s="98"/>
      <c r="C14" s="97" t="str">
        <f>IF('Agg. Info'!C7="","",'Agg. Info'!C7)</f>
        <v>12345-05</v>
      </c>
      <c r="D14" s="98"/>
      <c r="E14" s="117" t="str">
        <f>IF('Agg. Info'!D7="","",UPPER('Agg. Info'!D7))</f>
        <v>BIG ROCK CO.</v>
      </c>
      <c r="F14" s="118"/>
      <c r="G14" s="118"/>
      <c r="H14" s="408"/>
      <c r="I14" s="352">
        <f>IF(A14="","",ROUND('Agg. Info'!E7,3))</f>
        <v>2.68</v>
      </c>
      <c r="J14" s="594">
        <f>IF(Q14="","",IF(Q14="CA",'Agg. Info'!F7/'Agg. Info'!$F$12*100,'Agg. Info'!F7/'Agg. Info'!$F$13*100))</f>
        <v>100</v>
      </c>
      <c r="K14" s="595"/>
      <c r="L14" s="119" t="str">
        <f t="shared" si="1"/>
        <v>--</v>
      </c>
      <c r="M14" s="120">
        <f t="shared" si="2"/>
        <v>1911.7462795200001</v>
      </c>
      <c r="N14" s="295">
        <f t="shared" si="3"/>
        <v>1911.7462795200001</v>
      </c>
      <c r="O14" s="298">
        <f>'Mix Report (metric)'!N14</f>
        <v>1135.248</v>
      </c>
      <c r="Q14" s="28" t="str">
        <f t="shared" si="4"/>
        <v>CA</v>
      </c>
      <c r="R14" s="253">
        <f t="shared" si="5"/>
        <v>0.424</v>
      </c>
      <c r="S14" s="254">
        <f t="shared" si="6"/>
        <v>0.713</v>
      </c>
      <c r="T14" s="32">
        <v>88</v>
      </c>
      <c r="U14" s="33" t="s">
        <v>134</v>
      </c>
      <c r="V14" s="31">
        <f>IF('Design Info'!$M$13=3,"X","")</f>
      </c>
      <c r="W14" s="200"/>
      <c r="X14" s="26"/>
      <c r="Y14" s="27"/>
      <c r="AA14" s="448"/>
      <c r="AB14" s="37"/>
      <c r="AF14" s="17"/>
      <c r="AG14" s="17"/>
    </row>
    <row r="15" spans="1:33" ht="15">
      <c r="A15" s="97">
        <f t="shared" si="0"/>
      </c>
      <c r="B15" s="98"/>
      <c r="C15" s="97">
        <f>IF('Agg. Info'!C8="","",'Agg. Info'!C8)</f>
      </c>
      <c r="D15" s="98"/>
      <c r="E15" s="117">
        <f>IF('Agg. Info'!D8="","",UPPER('Agg. Info'!D8))</f>
      </c>
      <c r="F15" s="118"/>
      <c r="G15" s="118"/>
      <c r="H15" s="408"/>
      <c r="I15" s="352">
        <f>IF(A15="","",ROUND('Agg. Info'!E8,3))</f>
      </c>
      <c r="J15" s="594">
        <f>IF(Q15="","",IF(Q15="CA",'Agg. Info'!F8/'Agg. Info'!$F$12*100,'Agg. Info'!F8/'Agg. Info'!$F$13*100))</f>
      </c>
      <c r="K15" s="595"/>
      <c r="L15" s="119">
        <f t="shared" si="1"/>
      </c>
      <c r="M15" s="120">
        <f t="shared" si="2"/>
      </c>
      <c r="N15" s="295">
        <f t="shared" si="3"/>
      </c>
      <c r="O15" s="298">
        <f>'Mix Report (metric)'!N15</f>
      </c>
      <c r="Q15" s="28">
        <f t="shared" si="4"/>
      </c>
      <c r="R15" s="253">
        <f t="shared" si="5"/>
      </c>
      <c r="S15" s="254">
        <f t="shared" si="6"/>
      </c>
      <c r="T15" s="32">
        <v>91</v>
      </c>
      <c r="U15" s="33" t="s">
        <v>135</v>
      </c>
      <c r="V15" s="31" t="str">
        <f>IF('Design Info'!$M$13=4,"X","")</f>
        <v>X</v>
      </c>
      <c r="W15" s="200"/>
      <c r="X15" s="26"/>
      <c r="Y15" s="27"/>
      <c r="AA15" s="448"/>
      <c r="AB15" s="37"/>
      <c r="AF15" s="17"/>
      <c r="AG15" s="17"/>
    </row>
    <row r="16" spans="1:33" ht="15">
      <c r="A16" s="97">
        <f t="shared" si="0"/>
      </c>
      <c r="B16" s="98"/>
      <c r="C16" s="97">
        <f>IF('Agg. Info'!C9="","",'Agg. Info'!C9)</f>
      </c>
      <c r="D16" s="98"/>
      <c r="E16" s="117">
        <f>IF('Agg. Info'!D9="","",UPPER('Agg. Info'!D9))</f>
      </c>
      <c r="F16" s="118"/>
      <c r="G16" s="118"/>
      <c r="H16" s="408"/>
      <c r="I16" s="352">
        <f>IF(A16="","",ROUND('Agg. Info'!E9,3))</f>
      </c>
      <c r="J16" s="594">
        <f>IF(Q16="","",IF(Q16="CA",'Agg. Info'!F9/'Agg. Info'!$F$12*100,'Agg. Info'!F9/'Agg. Info'!$F$13*100))</f>
      </c>
      <c r="K16" s="595"/>
      <c r="L16" s="119">
        <f t="shared" si="1"/>
      </c>
      <c r="M16" s="120">
        <f t="shared" si="2"/>
      </c>
      <c r="N16" s="295">
        <f t="shared" si="3"/>
      </c>
      <c r="O16" s="298">
        <f>'Mix Report (metric)'!N16</f>
      </c>
      <c r="Q16" s="28">
        <f t="shared" si="4"/>
      </c>
      <c r="R16" s="253">
        <f t="shared" si="5"/>
      </c>
      <c r="S16" s="254">
        <f t="shared" si="6"/>
      </c>
      <c r="T16" s="32">
        <v>92</v>
      </c>
      <c r="U16" s="33" t="s">
        <v>136</v>
      </c>
      <c r="V16" s="31">
        <f>IF('Design Info'!$M$13=5,"X","")</f>
      </c>
      <c r="W16" s="200"/>
      <c r="X16" s="26"/>
      <c r="Y16" s="27"/>
      <c r="AA16" s="448"/>
      <c r="AB16" s="37"/>
      <c r="AF16" s="17"/>
      <c r="AG16" s="17"/>
    </row>
    <row r="17" spans="1:33" ht="15">
      <c r="A17" s="97">
        <f t="shared" si="0"/>
      </c>
      <c r="B17" s="98"/>
      <c r="C17" s="97">
        <f>IF('Agg. Info'!C10="","",'Agg. Info'!C10)</f>
      </c>
      <c r="D17" s="98"/>
      <c r="E17" s="117">
        <f>IF('Agg. Info'!D10="","",UPPER('Agg. Info'!D10))</f>
      </c>
      <c r="F17" s="118"/>
      <c r="G17" s="118"/>
      <c r="H17" s="408"/>
      <c r="I17" s="352">
        <f>IF(A17="","",ROUND('Agg. Info'!E10,3))</f>
      </c>
      <c r="J17" s="594">
        <f>IF(Q17="","",IF(Q17="CA",'Agg. Info'!F10/'Agg. Info'!$F$12*100,'Agg. Info'!F10/'Agg. Info'!$F$13*100))</f>
      </c>
      <c r="K17" s="595"/>
      <c r="L17" s="119">
        <f t="shared" si="1"/>
      </c>
      <c r="M17" s="120">
        <f t="shared" si="2"/>
      </c>
      <c r="N17" s="295">
        <f t="shared" si="3"/>
      </c>
      <c r="O17" s="298">
        <f>'Mix Report (metric)'!N17</f>
      </c>
      <c r="Q17" s="28">
        <f t="shared" si="4"/>
      </c>
      <c r="R17" s="253">
        <f t="shared" si="5"/>
      </c>
      <c r="S17" s="254">
        <f t="shared" si="6"/>
      </c>
      <c r="T17" s="32">
        <v>93</v>
      </c>
      <c r="U17" s="33" t="s">
        <v>137</v>
      </c>
      <c r="V17" s="31">
        <f>IF('Design Info'!$M$13=6,"X","")</f>
      </c>
      <c r="W17" s="200"/>
      <c r="X17" s="26"/>
      <c r="Y17" s="27"/>
      <c r="AA17" s="448"/>
      <c r="AB17" s="37"/>
      <c r="AF17" s="17"/>
      <c r="AG17" s="17"/>
    </row>
    <row r="18" spans="1:33" ht="15">
      <c r="A18" s="97">
        <f t="shared" si="0"/>
      </c>
      <c r="B18" s="98"/>
      <c r="C18" s="97">
        <f>IF('Agg. Info'!C11="","",'Agg. Info'!C11)</f>
      </c>
      <c r="D18" s="98"/>
      <c r="E18" s="117">
        <f>IF('Agg. Info'!D11="","",UPPER('Agg. Info'!D11))</f>
      </c>
      <c r="F18" s="118"/>
      <c r="G18" s="118"/>
      <c r="H18" s="408"/>
      <c r="I18" s="352">
        <f>IF(A18="","",ROUND('Agg. Info'!E11,3))</f>
      </c>
      <c r="J18" s="594">
        <f>IF(Q18="","",IF(Q18="CA",'Agg. Info'!F11/'Agg. Info'!$F$12*100,'Agg. Info'!F11/'Agg. Info'!$F$13*100))</f>
      </c>
      <c r="K18" s="595"/>
      <c r="L18" s="119">
        <f t="shared" si="1"/>
      </c>
      <c r="M18" s="120">
        <f t="shared" si="2"/>
      </c>
      <c r="N18" s="295">
        <f t="shared" si="3"/>
      </c>
      <c r="O18" s="298">
        <f>'Mix Report (metric)'!N18</f>
      </c>
      <c r="Q18" s="28">
        <f t="shared" si="4"/>
      </c>
      <c r="R18" s="253">
        <f t="shared" si="5"/>
      </c>
      <c r="S18" s="254">
        <f t="shared" si="6"/>
      </c>
      <c r="T18" s="32">
        <v>94</v>
      </c>
      <c r="U18" s="33" t="s">
        <v>138</v>
      </c>
      <c r="V18" s="31">
        <f>IF('Design Info'!$M$13=7,"X","")</f>
      </c>
      <c r="W18" s="200"/>
      <c r="X18" s="26"/>
      <c r="Y18" s="27"/>
      <c r="AA18" s="449"/>
      <c r="AB18" s="37"/>
      <c r="AF18" s="17"/>
      <c r="AG18" s="17"/>
    </row>
    <row r="19" spans="1:33" ht="15">
      <c r="A19" s="99" t="str">
        <f>R38</f>
        <v>37708</v>
      </c>
      <c r="B19" s="100"/>
      <c r="C19" s="121" t="str">
        <f>IF('FDM &amp; Admix'!D5="","",'FDM &amp; Admix'!D5)</f>
        <v>555-01</v>
      </c>
      <c r="D19" s="100"/>
      <c r="E19" s="117" t="str">
        <f>IF('FDM &amp; Admix'!E5="","",UPPER('FDM &amp; Admix'!E5))</f>
        <v>BIG CEMENT, CO.</v>
      </c>
      <c r="F19" s="122"/>
      <c r="G19" s="156"/>
      <c r="H19" s="148"/>
      <c r="I19" s="352">
        <f>IF(A19="","",ROUND('FDM &amp; Admix'!G5,3))</f>
        <v>3.15</v>
      </c>
      <c r="J19" s="594">
        <f>IF(A19="","",'FDM &amp; Admix'!H5)</f>
        <v>75</v>
      </c>
      <c r="K19" s="595"/>
      <c r="L19" s="119">
        <f>IF(A19="","",IF('FDM &amp; Admix'!I5="",1,'FDM &amp; Admix'!I5))</f>
        <v>1</v>
      </c>
      <c r="M19" s="141">
        <f>IF(A19="","",ROUNDUP(ROUND(AA19,0)/5,0)*5)</f>
        <v>405</v>
      </c>
      <c r="N19" s="295">
        <f>M19</f>
        <v>405</v>
      </c>
      <c r="O19" s="298">
        <f>'Mix Report (metric)'!N19</f>
        <v>240</v>
      </c>
      <c r="Q19" s="34" t="str">
        <f>IF(A19="","",IF(OR(LEFT(A19,3)="376",LEFT(A19,3)="377"),"CMT",IF(LEFT(A19,4)="3782","SLG",IF(OR(LEFT(A19,5)="37801",LEFT(A19,5)="37802"),"ASH",IF(LEFT(A19,4)="3785","MIC",IF(LEFT(A19,5)="37803","HRM",""))))))</f>
        <v>CMT</v>
      </c>
      <c r="R19" s="255">
        <f>IF(I19&gt;0,ROUND(M19/(I19*$Q$29),3),"")</f>
        <v>0.076</v>
      </c>
      <c r="S19" s="255">
        <f>IF(I19&gt;0,ROUND(M19/I19/1000,3),"")</f>
        <v>0.129</v>
      </c>
      <c r="T19" s="32">
        <v>95</v>
      </c>
      <c r="U19" s="33" t="s">
        <v>139</v>
      </c>
      <c r="V19" s="31">
        <f>IF('Design Info'!$M$13=8,"X","")</f>
      </c>
      <c r="W19" s="200"/>
      <c r="X19" s="26"/>
      <c r="Y19" s="27"/>
      <c r="AA19" s="450">
        <f>IF(Units=1,IF($Q$3=1,$G$9*J19*L19,$G$9*(J19/100)*L19),IF($Q$3=1,$G$9*J19*L19,$G$9*(J19/100)*L19))</f>
        <v>401.25</v>
      </c>
      <c r="AB19" s="37"/>
      <c r="AF19" s="17"/>
      <c r="AG19" s="17"/>
    </row>
    <row r="20" spans="1:33" ht="15">
      <c r="A20" s="99" t="str">
        <f>R39</f>
        <v>37801</v>
      </c>
      <c r="B20" s="100"/>
      <c r="C20" s="121" t="str">
        <f>IF('FDM &amp; Admix'!D6="","",'FDM &amp; Admix'!D6)</f>
        <v>43215-01</v>
      </c>
      <c r="D20" s="100"/>
      <c r="E20" s="117" t="str">
        <f>IF('FDM &amp; Admix'!E6="","",UPPER('FDM &amp; Admix'!E6))</f>
        <v>ASH MARKETERS, INC.</v>
      </c>
      <c r="F20" s="122"/>
      <c r="G20" s="156"/>
      <c r="H20" s="148"/>
      <c r="I20" s="352">
        <f>IF(A20="","",ROUND('FDM &amp; Admix'!G6,3))</f>
        <v>2.61</v>
      </c>
      <c r="J20" s="594">
        <f>IF(A20="","",'FDM &amp; Admix'!H6)</f>
        <v>25</v>
      </c>
      <c r="K20" s="595"/>
      <c r="L20" s="119">
        <f>IF(A20="","",IF('FDM &amp; Admix'!I6="",1,'FDM &amp; Admix'!I6))</f>
        <v>1</v>
      </c>
      <c r="M20" s="141">
        <f>IF(A20="","",ROUNDUP(ROUND(AA20,0)/5,0)*5)</f>
        <v>135</v>
      </c>
      <c r="N20" s="295">
        <f>M20</f>
        <v>135</v>
      </c>
      <c r="O20" s="298">
        <f>'Mix Report (metric)'!N20</f>
        <v>80</v>
      </c>
      <c r="Q20" s="34" t="str">
        <f>IF(A20="","",IF(OR(LEFT(A20,3)="376",LEFT(A20,3)="377"),"CMT",IF(LEFT(A20,4)="3782","SLG",IF(OR(LEFT(A20,5)="37801",LEFT(A20,5)="37802"),"ASH",IF(LEFT(A20,4)="3785","MIC",IF(LEFT(A20,5)="37803","HRM",""))))))</f>
        <v>ASH</v>
      </c>
      <c r="R20" s="255">
        <f>IF(I20&gt;0,ROUND(M20/(I20*$Q$29),3),"")</f>
        <v>0.031</v>
      </c>
      <c r="S20" s="255">
        <f>IF(I20&gt;0,ROUND(M20/I20/1000,3),"")</f>
        <v>0.052</v>
      </c>
      <c r="T20" s="32">
        <v>96</v>
      </c>
      <c r="U20" s="33" t="s">
        <v>140</v>
      </c>
      <c r="V20" s="31">
        <f>IF('Design Info'!$M$13=9,"X","")</f>
      </c>
      <c r="W20" s="200"/>
      <c r="X20" s="26"/>
      <c r="Y20" s="27"/>
      <c r="AA20" s="450">
        <f>IF(Units=1,IF($Q$3=1,$G$9*J20*L20,$G$9*(J20/100)*L20),IF($Q$3=1,$G$9*J20*L20,$G$9*(J20/100)*L20))</f>
        <v>133.75</v>
      </c>
      <c r="AB20" s="37"/>
      <c r="AF20" s="203"/>
      <c r="AG20" s="17"/>
    </row>
    <row r="21" spans="1:33" ht="15.75" customHeight="1">
      <c r="A21" s="99">
        <f>R40</f>
      </c>
      <c r="B21" s="100"/>
      <c r="C21" s="121">
        <f>IF('FDM &amp; Admix'!D7="","",'FDM &amp; Admix'!D7)</f>
      </c>
      <c r="D21" s="100"/>
      <c r="E21" s="117">
        <f>IF('FDM &amp; Admix'!E7="","",UPPER('FDM &amp; Admix'!E7))</f>
      </c>
      <c r="F21" s="122"/>
      <c r="G21" s="156"/>
      <c r="H21" s="148"/>
      <c r="I21" s="352">
        <f>IF(A21="","",ROUND('FDM &amp; Admix'!G7,3))</f>
      </c>
      <c r="J21" s="594">
        <f>IF(A21="","",'FDM &amp; Admix'!H7)</f>
      </c>
      <c r="K21" s="595"/>
      <c r="L21" s="119">
        <f>IF(A21="","",IF('FDM &amp; Admix'!I7="",1,'FDM &amp; Admix'!I7))</f>
      </c>
      <c r="M21" s="141">
        <f>IF(A21="","",ROUNDUP(ROUND(AA21,0)/5,0)*5)</f>
      </c>
      <c r="N21" s="295">
        <f>M21</f>
      </c>
      <c r="O21" s="298">
        <f>'Mix Report (metric)'!N21</f>
      </c>
      <c r="Q21" s="34">
        <f>IF(A21="","",IF(OR(LEFT(A21,3)="376",LEFT(A21,3)="377"),"CMT",IF(LEFT(A21,4)="3782","SLG",IF(OR(LEFT(A21,5)="37801",LEFT(A21,5)="37802"),"ASH",IF(LEFT(A21,4)="3785","MIC",IF(LEFT(A21,5)="37803","HRM",""))))))</f>
      </c>
      <c r="R21" s="255">
        <f>IF(I21&gt;0,ROUND(M21/(I21*$Q$29),3),"")</f>
      </c>
      <c r="S21" s="255">
        <f>IF(I21&gt;0,ROUND(M21/I21/1000,3),"")</f>
      </c>
      <c r="T21" s="32">
        <v>97</v>
      </c>
      <c r="U21" s="33" t="s">
        <v>141</v>
      </c>
      <c r="V21" s="31">
        <f>IF('Design Info'!$M$13=10,"X","")</f>
      </c>
      <c r="W21" s="200"/>
      <c r="AA21" s="450">
        <f>IF(Units=1,IF($Q$3=1,$G$9*J21*L21,$G$9*(J21/100)*L21),IF($Q$3=1,$G$9*J21*L21,$G$9*(J21/100)*L21))</f>
        <v>0</v>
      </c>
      <c r="AB21" s="37"/>
      <c r="AF21" s="203"/>
      <c r="AG21" s="17"/>
    </row>
    <row r="22" spans="1:33" ht="15">
      <c r="A22" s="99">
        <f>R41</f>
      </c>
      <c r="B22" s="100"/>
      <c r="C22" s="121">
        <f>IF('FDM &amp; Admix'!D8="","",'FDM &amp; Admix'!D8)</f>
      </c>
      <c r="D22" s="100"/>
      <c r="E22" s="117">
        <f>IF('FDM &amp; Admix'!E8="","",UPPER('FDM &amp; Admix'!E8))</f>
      </c>
      <c r="F22" s="122"/>
      <c r="G22" s="156"/>
      <c r="H22" s="81"/>
      <c r="I22" s="352">
        <f>IF(A22="","",ROUND('FDM &amp; Admix'!G8,3))</f>
      </c>
      <c r="J22" s="594">
        <f>IF(A22="","",'FDM &amp; Admix'!H8)</f>
      </c>
      <c r="K22" s="595"/>
      <c r="L22" s="119">
        <f>IF(A22="","",IF('FDM &amp; Admix'!I8="",1,'FDM &amp; Admix'!I8))</f>
      </c>
      <c r="M22" s="141">
        <f>IF(A22="","",AA22)</f>
      </c>
      <c r="N22" s="295">
        <f>M22</f>
      </c>
      <c r="O22" s="298">
        <f>'Mix Report (metric)'!N22</f>
      </c>
      <c r="Q22" s="34">
        <f>IF(A22="","",IF(OR(LEFT(A22,3)="376",LEFT(A22,3)="377"),"CMT",IF(LEFT(A22,4)="3782","SLG",IF(OR(LEFT(A22,5)="37801",LEFT(A22,5)="37802"),"ASH",IF(LEFT(A22,4)="3785","MIC",IF(LEFT(A22,5)="37803","HRM",""))))))</f>
      </c>
      <c r="R22" s="255">
        <f>IF(I22&gt;0,ROUND(M22/(I22*$Q$29),3),"")</f>
      </c>
      <c r="S22" s="255">
        <f>IF(I22&gt;0,ROUND(M22/I22/1000,3),"")</f>
      </c>
      <c r="T22" s="32">
        <v>98</v>
      </c>
      <c r="U22" s="33" t="s">
        <v>142</v>
      </c>
      <c r="V22" s="31">
        <f>IF('Design Info'!$M$13=11,"X","")</f>
      </c>
      <c r="AA22" s="450">
        <f>IF(Units=1,IF($Q$3=1,$G$9*J22*L22,$G$9*(J22/100)*L22),IF($Q$3=1,$G$9*J22*L22,$G$9*(J22/100)*L22))</f>
        <v>0</v>
      </c>
      <c r="AB22" s="37"/>
      <c r="AF22" s="203"/>
      <c r="AG22" s="17"/>
    </row>
    <row r="23" spans="1:33" ht="15.75" customHeight="1" thickBot="1">
      <c r="A23" s="21" t="s">
        <v>107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101" t="str">
        <f>IF(Units=1,IF(Q3=1,"ADJ. H2O (gal : lbs)","ADJ. H2O (L : kg)"),IF(Q3=1,"ADJ. H2O (gal : lbs)","ADJ. H2O (L : kg)"))</f>
        <v>ADJ. H2O (gal : lbs)</v>
      </c>
      <c r="M23" s="199">
        <f>IF(Units=1,IF(Q3=1,N23/8.33,N23),IF(Q3=1,N23/8.33,N23))</f>
        <v>27.25090036014406</v>
      </c>
      <c r="N23" s="296">
        <f>IF(Units=1,IF(Q3=1,N26-(SUM(N13:N22)-SUM(M13:M22)),M26-(SUM(N13:N22)-SUM(M13:M22))),IF(Q3=1,N26-(SUM(N13:N22)-SUM(M13:M22)),M26-(SUM(N13:N22)-SUM(M13:M22))))</f>
        <v>227</v>
      </c>
      <c r="O23" s="298">
        <f>IF($Q$3=1,N23/1.685,N23*1.685)</f>
        <v>134.71810089020772</v>
      </c>
      <c r="Q23" s="35" t="s">
        <v>17</v>
      </c>
      <c r="R23" s="255">
        <f>ROUND(E9/100,3)</f>
        <v>0.065</v>
      </c>
      <c r="S23" s="255">
        <f>ROUND(E9/100,3)</f>
        <v>0.065</v>
      </c>
      <c r="T23" s="32">
        <v>99</v>
      </c>
      <c r="U23" s="33" t="s">
        <v>143</v>
      </c>
      <c r="V23" s="31">
        <f>IF('Design Info'!$M$13=12,"X","")</f>
      </c>
      <c r="W23" s="273"/>
      <c r="AA23" s="451"/>
      <c r="AB23" s="37"/>
      <c r="AF23" s="203"/>
      <c r="AG23" s="17"/>
    </row>
    <row r="24" spans="1:33" ht="15">
      <c r="A24" s="21"/>
      <c r="B24" s="101"/>
      <c r="D24" s="105" t="s">
        <v>36</v>
      </c>
      <c r="E24" s="151">
        <f>ROUND(L9+K9,4)</f>
        <v>5.3</v>
      </c>
      <c r="F24" s="21"/>
      <c r="G24" s="89" t="s">
        <v>60</v>
      </c>
      <c r="H24" s="145">
        <f>IF(Variables!J3=1,IF(E26="","",IF(Units=1,IF($Q$3=1,ROUND(AA28/(E26*100),3),ROUND((AA28*0.5935)/E26,3)),IF($Q$3=1,ROUND(AA28/(E26*100),3),ROUND((AA28*0.5935)/E26,3)))),Variables!$C$11)</f>
        <v>0.42</v>
      </c>
      <c r="I24" s="92"/>
      <c r="J24" s="92"/>
      <c r="K24" s="21"/>
      <c r="L24" s="101" t="str">
        <f>IF(Units=1,IF(Q3=1,"TOTAL BATCH WT (lbs)","TOTAL BATCH WT (kg)"),IF(Q3=1,"TOTAL BATCH WT (lbs)","TOTAL BATCH WT (kg)"))</f>
        <v>TOTAL BATCH WT (lbs)</v>
      </c>
      <c r="N24" s="297">
        <f>SUM(N13:N23)</f>
        <v>3883.7084841200003</v>
      </c>
      <c r="O24" s="233">
        <f>SUM(O13:O23)</f>
        <v>2308.166100890208</v>
      </c>
      <c r="Q24" s="35" t="s">
        <v>18</v>
      </c>
      <c r="R24" s="255">
        <f>ROUND(N26/$Q$29,3)</f>
        <v>0.135</v>
      </c>
      <c r="S24" s="255">
        <f>ROUND(M26/1000,3)</f>
        <v>0.027</v>
      </c>
      <c r="T24" s="41">
        <f>IF(Units=1,IF(Q3=1,21601,"21601M"),IF(Q3=1,21601,"21601M"))</f>
        <v>21601</v>
      </c>
      <c r="U24" s="40" t="s">
        <v>57</v>
      </c>
      <c r="V24" s="265">
        <f>IF('Design Info'!$R$13=2,"X","")</f>
      </c>
      <c r="W24" s="17"/>
      <c r="AA24" s="17"/>
      <c r="AB24" s="274"/>
      <c r="AC24" s="17"/>
      <c r="AF24" s="17"/>
      <c r="AG24" s="17"/>
    </row>
    <row r="25" spans="1:31" ht="15">
      <c r="A25" s="21"/>
      <c r="B25" s="84"/>
      <c r="C25" s="84"/>
      <c r="D25" s="465" t="s">
        <v>241</v>
      </c>
      <c r="E25" s="466">
        <f>ROUND((1-C9/100)*E24,4)</f>
        <v>5.0362</v>
      </c>
      <c r="G25" s="21"/>
      <c r="H25" s="21"/>
      <c r="I25" s="123"/>
      <c r="J25" s="123"/>
      <c r="K25" s="123"/>
      <c r="L25" s="123"/>
      <c r="M25" s="21"/>
      <c r="N25" s="21"/>
      <c r="Q25" s="36"/>
      <c r="R25" s="251"/>
      <c r="S25" s="251"/>
      <c r="T25" s="42">
        <f>IF(Units=1,IF(Q3=1,21605,"21605M"),IF(Q3=1,21605,"21605M"))</f>
        <v>21605</v>
      </c>
      <c r="U25" s="39" t="s">
        <v>263</v>
      </c>
      <c r="V25" s="43" t="str">
        <f>IF('Design Info'!$R$13=3,"X","")</f>
        <v>X</v>
      </c>
      <c r="W25" s="17"/>
      <c r="AA25" s="17"/>
      <c r="AB25" s="17"/>
      <c r="AC25" s="17"/>
      <c r="AD25" s="17"/>
      <c r="AE25" s="17"/>
    </row>
    <row r="26" spans="1:31" ht="15">
      <c r="A26" s="21"/>
      <c r="B26" s="89"/>
      <c r="D26" s="124" t="s">
        <v>148</v>
      </c>
      <c r="E26" s="145">
        <f>IF(Units=1,IF(Q3=1,SUM(M19:M22)/100,SUM(M19:M22)),IF(Q3=1,SUM(M19:M22)/100,SUM(M19:M22)))</f>
        <v>5.4</v>
      </c>
      <c r="G26" s="456">
        <f>IF('Design Info'!R12="21606","LATEX:","")</f>
      </c>
      <c r="H26" s="464">
        <f>IF('Design Info'!R12="21606",IF('FDM &amp; Admix'!I18="","",IF(Units=1,IF(Q3=1,'FDM &amp; Admix'!I18,'FDM &amp; Admix'!I18*4.951),IF(Q3=1,'FDM &amp; Admix'!I18/4.951,'FDM &amp; Admix'!I18))),"")</f>
      </c>
      <c r="I26" s="21">
        <f>IF('Design Info'!R12="21606",IF(Units=1,IF(Q3=1,"GAL","L"),IF(Q3=1,"GAL","L")),"")</f>
      </c>
      <c r="J26" s="92"/>
      <c r="K26" s="21"/>
      <c r="L26" s="101" t="str">
        <f>IF(Units=1,IF(Q3=1,"THEO. H2O (gal : lbs)","THEO. H2O (kg : lbs)"),IF(Q3=1,"THEO. H2O (gal : lbs)","THEO. H2O (kg : lbs)"))</f>
        <v>THEO. H2O (gal : lbs)</v>
      </c>
      <c r="M26" s="202">
        <f>IF('Design Info'!R12="21606",IF(Q3=1,ROUND(N26/8.33,1),ROUND(N26/1.685,1)),ROUND(AA27,1))</f>
        <v>27.2</v>
      </c>
      <c r="N26" s="233">
        <f>IF('Design Info'!R12="21606",((AA28/$Q$29)-Y27)*$Q$29,AA28)</f>
        <v>227</v>
      </c>
      <c r="O26" s="133"/>
      <c r="Q26" s="21" t="s">
        <v>43</v>
      </c>
      <c r="R26" s="255">
        <f>SUM(R13:R24)</f>
        <v>0.7310000000000001</v>
      </c>
      <c r="S26" s="255">
        <f>SUM(S13:S24)</f>
        <v>0.9860000000000001</v>
      </c>
      <c r="T26" s="42">
        <f>IF(Units=1,IF(Q3=1,21606,"21606M"),IF(Q3=1,21606,"21606M"))</f>
        <v>21606</v>
      </c>
      <c r="U26" s="39" t="s">
        <v>56</v>
      </c>
      <c r="V26" s="43">
        <f>IF('Design Info'!$R$13=4,"X","")</f>
      </c>
      <c r="W26" s="17"/>
      <c r="X26" s="3" t="s">
        <v>357</v>
      </c>
      <c r="AA26" s="458" t="s">
        <v>361</v>
      </c>
      <c r="AB26" s="17"/>
      <c r="AC26" s="17"/>
      <c r="AD26" s="37"/>
      <c r="AE26" s="17"/>
    </row>
    <row r="27" spans="12:31" ht="16.5" customHeight="1">
      <c r="L27" s="220"/>
      <c r="M27" s="221"/>
      <c r="N27" s="222"/>
      <c r="Q27" s="21"/>
      <c r="T27" s="42">
        <f>IF(Units=1,IF(Q3=1,21609,"21609M"),IF(Q3=1,21609,"21609M"))</f>
        <v>21609</v>
      </c>
      <c r="U27" s="39" t="s">
        <v>264</v>
      </c>
      <c r="V27" s="43">
        <f>IF('Design Info'!$R$13=5,"X","")</f>
      </c>
      <c r="W27" s="17"/>
      <c r="X27" s="3" t="s">
        <v>358</v>
      </c>
      <c r="Y27" s="454">
        <f>Y29-Y28</f>
        <v>0</v>
      </c>
      <c r="AA27" s="457">
        <f>IF(Units=1,IF(Q3=1,IF(Variables!J3=1,E26*E25,((E26*100)*H24)/8.33),IF(Variables!J3=1,E26*E25,E26*H24)),IF(Q3=1,IF(Variables!J3=1,E26*E25,((E26*100)*H24)/8.33),IF(Variables!J3=1,E26*E25,E26*H24)))</f>
        <v>27.22689075630252</v>
      </c>
      <c r="AB27" s="17" t="str">
        <f>IF(Units=1,IF(Q3=1,"gal","kg"),IF(Q3=1,"gal","kg"))</f>
        <v>gal</v>
      </c>
      <c r="AC27" s="17"/>
      <c r="AD27" s="51"/>
      <c r="AE27" s="17"/>
    </row>
    <row r="28" spans="1:31" ht="15">
      <c r="A28" s="21"/>
      <c r="B28" s="130" t="s">
        <v>65</v>
      </c>
      <c r="C28" s="596" t="str">
        <f>IF('Design Info'!D19="","",'Design Info'!D19)</f>
        <v>1234-05</v>
      </c>
      <c r="D28" s="596"/>
      <c r="F28" s="124" t="s">
        <v>69</v>
      </c>
      <c r="G28" s="604" t="str">
        <f>IF('Design Info'!D20="","",UPPER('Design Info'!D20))</f>
        <v>EVERYMAN REDI-MIX CO.</v>
      </c>
      <c r="H28" s="604"/>
      <c r="I28" s="604"/>
      <c r="J28" s="154"/>
      <c r="K28" s="21"/>
      <c r="L28" s="124"/>
      <c r="Q28" s="144" t="s">
        <v>100</v>
      </c>
      <c r="T28" s="42">
        <f>IF(Units=1,IF(Q3=1,21611,"21611M"),IF(Q3=1,21611,"21611M"))</f>
        <v>21611</v>
      </c>
      <c r="U28" s="39" t="s">
        <v>265</v>
      </c>
      <c r="V28" s="43">
        <f>IF('Design Info'!$R$13=6,"X","")</f>
      </c>
      <c r="W28" s="17"/>
      <c r="X28" s="3" t="s">
        <v>359</v>
      </c>
      <c r="Y28" s="454">
        <f>('FDM &amp; Admix'!I20/100)*Y29</f>
        <v>0</v>
      </c>
      <c r="AA28" s="459">
        <f>IF(Units=1,IF(Q3=1,ROUND(AA27*8.33,0),ROUND(AA27*1.685,0)),IF(Q3=1,ROUND(AA27*8.33,0),ROUND(AA27*1.685,0)))</f>
        <v>227</v>
      </c>
      <c r="AB28" s="17" t="s">
        <v>352</v>
      </c>
      <c r="AC28" s="17"/>
      <c r="AD28" s="51"/>
      <c r="AE28" s="17"/>
    </row>
    <row r="29" spans="1:31" ht="15">
      <c r="A29" s="21"/>
      <c r="B29" s="89" t="s">
        <v>144</v>
      </c>
      <c r="C29" s="603" t="str">
        <f>IF('FDM &amp; Admix'!B19="","",'FDM &amp; Admix'!B19)</f>
        <v>ASR Mix Option 2, 25% fly ash</v>
      </c>
      <c r="D29" s="603"/>
      <c r="E29" s="603"/>
      <c r="F29" s="603"/>
      <c r="G29" s="603"/>
      <c r="H29" s="603"/>
      <c r="I29" s="603"/>
      <c r="J29" s="603"/>
      <c r="K29" s="603"/>
      <c r="L29" s="124"/>
      <c r="M29" s="142"/>
      <c r="Q29" s="145">
        <v>1683.99</v>
      </c>
      <c r="R29" s="3" t="s">
        <v>101</v>
      </c>
      <c r="T29" s="42">
        <f>IF(Units=1,IF(Q3=1,21613,"21613M"),IF(Q3=1,21611,"21613M"))</f>
        <v>21613</v>
      </c>
      <c r="U29" s="39" t="s">
        <v>266</v>
      </c>
      <c r="V29" s="43">
        <f>IF('Design Info'!$R$13=7,"X","")</f>
      </c>
      <c r="W29" s="17"/>
      <c r="X29" s="3" t="s">
        <v>360</v>
      </c>
      <c r="Y29" s="454">
        <f>IF('Design Info'!R12="21606",IF('FDM &amp; Admix'!I18="","",IF(Units=1,('FDM &amp; Admix'!I19*8.33*'FDM &amp; Admix'!I18)/$Q$29,'FDM &amp; Admix'!I18/1000)),"")</f>
      </c>
      <c r="AA29" s="17"/>
      <c r="AB29" s="17"/>
      <c r="AC29" s="17"/>
      <c r="AD29" s="51"/>
      <c r="AE29" s="17"/>
    </row>
    <row r="30" spans="1:31" ht="15.75" thickBot="1">
      <c r="A30" s="21"/>
      <c r="B30" s="89" t="s">
        <v>144</v>
      </c>
      <c r="C30" s="602">
        <f>IF('FDM &amp; Admix'!B20="","",'FDM &amp; Admix'!B20)</f>
      </c>
      <c r="D30" s="602"/>
      <c r="E30" s="602"/>
      <c r="F30" s="602"/>
      <c r="G30" s="602"/>
      <c r="H30" s="602"/>
      <c r="I30" s="602"/>
      <c r="J30" s="602"/>
      <c r="K30" s="602"/>
      <c r="L30" s="105"/>
      <c r="M30" s="177"/>
      <c r="N30" s="126"/>
      <c r="T30" s="42">
        <f>IF(Units=1,IF(Q3=1,21614,"21614M"),IF(Q3=1,21614,"21614M"))</f>
        <v>21614</v>
      </c>
      <c r="U30" s="39" t="s">
        <v>267</v>
      </c>
      <c r="V30" s="43">
        <f>IF('Design Info'!$R$13=8,"X","")</f>
      </c>
      <c r="W30" s="17"/>
      <c r="AA30" s="17"/>
      <c r="AB30" s="17"/>
      <c r="AC30" s="17"/>
      <c r="AD30" s="51"/>
      <c r="AE30" s="17"/>
    </row>
    <row r="31" spans="1:31" ht="15.75" thickTop="1">
      <c r="A31" s="172" t="s">
        <v>151</v>
      </c>
      <c r="B31" s="173"/>
      <c r="C31" s="173"/>
      <c r="D31" s="174"/>
      <c r="E31" s="175" t="s">
        <v>152</v>
      </c>
      <c r="F31" s="239" t="str">
        <f>IF('Design Info'!D14="","",UPPER('Design Info'!D14))</f>
        <v>PAVE MASTERS CO.</v>
      </c>
      <c r="G31" s="240"/>
      <c r="H31" s="175" t="s">
        <v>177</v>
      </c>
      <c r="I31" s="239" t="str">
        <f>IF('Design Info'!D15="","",UPPER('Design Info'!D15))</f>
        <v>CHICAGO</v>
      </c>
      <c r="J31" s="239"/>
      <c r="K31" s="175"/>
      <c r="L31" s="175"/>
      <c r="M31" s="176"/>
      <c r="N31" s="173"/>
      <c r="Q31" s="3" t="s">
        <v>76</v>
      </c>
      <c r="T31" s="42">
        <f>IF(Units=1,IF(Q3=1,21620,"21620M"),IF(Q3=1,21620,"21620M"))</f>
        <v>21620</v>
      </c>
      <c r="U31" s="39" t="s">
        <v>268</v>
      </c>
      <c r="V31" s="43">
        <f>IF('Design Info'!$R$13=9,"X","")</f>
      </c>
      <c r="W31" s="17"/>
      <c r="Y31" s="3" t="s">
        <v>348</v>
      </c>
      <c r="Z31" s="3" t="s">
        <v>347</v>
      </c>
      <c r="AA31" s="17"/>
      <c r="AB31" s="17" t="s">
        <v>346</v>
      </c>
      <c r="AC31" s="17"/>
      <c r="AD31" s="51"/>
      <c r="AE31" s="17"/>
    </row>
    <row r="32" spans="1:34" ht="15">
      <c r="A32" s="21"/>
      <c r="B32" s="166" t="s">
        <v>6</v>
      </c>
      <c r="E32" s="124" t="s">
        <v>192</v>
      </c>
      <c r="F32" s="260" t="str">
        <f>IF('Design Info'!D16="","",UPPER('Design Info'!D16))</f>
        <v>JOHN SMITH</v>
      </c>
      <c r="G32" s="131"/>
      <c r="H32" s="124" t="s">
        <v>229</v>
      </c>
      <c r="I32" s="356" t="str">
        <f>IF('Design Info'!AC14="","",'Design Info'!AC14)</f>
        <v>01/09/23</v>
      </c>
      <c r="J32" s="21"/>
      <c r="L32" s="125"/>
      <c r="M32" s="329"/>
      <c r="N32" s="329"/>
      <c r="Q32" s="167" t="str">
        <f>'Agg. Info'!B6</f>
        <v>027fa01</v>
      </c>
      <c r="R32" s="50" t="str">
        <f aca="true" t="shared" si="7" ref="R32:R37">IF(AA32="","",AA32&amp;IF($Q$3=1,IF(Y32="1","01",""),IF(Y32="1","1",""))&amp;Z32)</f>
        <v>027fa01</v>
      </c>
      <c r="T32" s="42">
        <f>IF(Units=1,IF(Q3=1,21621,"21621M"),IF(Q3=1,21621,"21621M"))</f>
        <v>21621</v>
      </c>
      <c r="U32" s="39" t="s">
        <v>269</v>
      </c>
      <c r="V32" s="43">
        <f>IF('Design Info'!$R$13=10,"X","")</f>
      </c>
      <c r="W32" s="17"/>
      <c r="X32" s="454" t="str">
        <f aca="true" t="shared" si="8" ref="X32:X37">IF(AA32="","",AA32&amp;IF($Q$3=1,IF(Y32="1","01",""),IF(Y32="1","1",""))&amp;Z32)</f>
        <v>027fa01</v>
      </c>
      <c r="Y32" s="454">
        <f aca="true" t="shared" si="9" ref="Y32:Y37">IF(AA32="","",IF(AF32="1","1",""))</f>
      </c>
      <c r="Z32" s="454">
        <f aca="true" t="shared" si="10" ref="Z32:Z37">IF(OR(AE32="F",AF32="F",AG32="F"),"FT","")</f>
      </c>
      <c r="AA32" s="452" t="str">
        <f aca="true" t="shared" si="11" ref="AA32:AA37">IF(Q32="","",IF($Q$3=1,AB32&amp;IF(AC32="M",AD32&amp;AE32,AC32&amp;AD32),AB32&amp;IF(AC32="M",AC32&amp;AD32&amp;AE32,"M"&amp;AC32&amp;AD32)))</f>
        <v>027fa01</v>
      </c>
      <c r="AB32" s="453" t="str">
        <f aca="true" t="shared" si="12" ref="AB32:AB37">IF(Q32="","",LEFT(Q32,5))</f>
        <v>027fa</v>
      </c>
      <c r="AC32" s="453" t="str">
        <f aca="true" t="shared" si="13" ref="AC32:AC37">IF(Q32="","",MID(Q32,6,1))</f>
        <v>0</v>
      </c>
      <c r="AD32" s="453" t="str">
        <f aca="true" t="shared" si="14" ref="AD32:AD37">IF(Q32="","",MID(Q32,7,1))</f>
        <v>1</v>
      </c>
      <c r="AE32" s="453">
        <f aca="true" t="shared" si="15" ref="AE32:AE37">IF(Q32="","",IF(MID(Q32,8,1)="","",MID(Q32,8,1)))</f>
      </c>
      <c r="AF32" s="453">
        <f aca="true" t="shared" si="16" ref="AF32:AF37">IF(Q32="","",IF(MID(Q32,9,1)="","",MID(Q32,9,1)))</f>
      </c>
      <c r="AG32" s="453">
        <f aca="true" t="shared" si="17" ref="AG32:AG37">IF(Q32="","",IF(MID(Q32,10,1)="","",MID(Q32,10,1)))</f>
      </c>
      <c r="AH32" s="453">
        <f aca="true" t="shared" si="18" ref="AH32:AH37">IF(Q32="","",IF(MID(Q32,11,1)="","",MID(Q32,11,1)))</f>
      </c>
    </row>
    <row r="33" spans="1:34" ht="15">
      <c r="A33" s="26" t="s">
        <v>55</v>
      </c>
      <c r="B33" s="268" t="s">
        <v>59</v>
      </c>
      <c r="C33" s="165" t="s">
        <v>5</v>
      </c>
      <c r="D33" s="197" t="s">
        <v>513</v>
      </c>
      <c r="E33" s="189"/>
      <c r="F33" s="186"/>
      <c r="G33" s="197" t="s">
        <v>54</v>
      </c>
      <c r="H33" s="19"/>
      <c r="I33" s="189"/>
      <c r="J33" s="21"/>
      <c r="K33" s="124"/>
      <c r="L33" s="125"/>
      <c r="M33" s="329"/>
      <c r="N33" s="329"/>
      <c r="Q33" s="167" t="str">
        <f>'Agg. Info'!B7</f>
        <v>022ca07</v>
      </c>
      <c r="R33" s="50" t="str">
        <f t="shared" si="7"/>
        <v>022ca07</v>
      </c>
      <c r="T33" s="42">
        <f>IF(Units=1,IF(Q3=1,21622,"21622M"),IF(Q3=1,21622,"21622M"))</f>
        <v>21622</v>
      </c>
      <c r="U33" s="39" t="s">
        <v>270</v>
      </c>
      <c r="V33" s="43">
        <f>IF('Design Info'!$R$13=11,"X","")</f>
      </c>
      <c r="W33" s="17"/>
      <c r="X33" s="454" t="str">
        <f t="shared" si="8"/>
        <v>022ca07</v>
      </c>
      <c r="Y33" s="454">
        <f t="shared" si="9"/>
      </c>
      <c r="Z33" s="454">
        <f t="shared" si="10"/>
      </c>
      <c r="AA33" s="452" t="str">
        <f t="shared" si="11"/>
        <v>022ca07</v>
      </c>
      <c r="AB33" s="453" t="str">
        <f t="shared" si="12"/>
        <v>022ca</v>
      </c>
      <c r="AC33" s="453" t="str">
        <f t="shared" si="13"/>
        <v>0</v>
      </c>
      <c r="AD33" s="453" t="str">
        <f t="shared" si="14"/>
        <v>7</v>
      </c>
      <c r="AE33" s="453">
        <f t="shared" si="15"/>
      </c>
      <c r="AF33" s="453">
        <f t="shared" si="16"/>
      </c>
      <c r="AG33" s="453">
        <f t="shared" si="17"/>
      </c>
      <c r="AH33" s="453">
        <f t="shared" si="18"/>
      </c>
    </row>
    <row r="34" spans="2:34" ht="15">
      <c r="B34" s="269">
        <f>IF('FDM &amp; Admix'!B13="","",'FDM &amp; Admix'!B13)</f>
        <v>42000</v>
      </c>
      <c r="C34" s="164" t="str">
        <f>'FDM &amp; Admix'!Q18</f>
        <v>AEA</v>
      </c>
      <c r="D34" s="252" t="str">
        <f>IF('FDM &amp; Admix'!E13="","",UPPER('FDM &amp; Admix'!E13))</f>
        <v>AIR PLUS X</v>
      </c>
      <c r="E34" s="198"/>
      <c r="F34" s="187"/>
      <c r="G34" s="252">
        <f>IF('FDM &amp; Admix'!G13="","",'FDM &amp; Admix'!G13)</f>
      </c>
      <c r="H34" s="19"/>
      <c r="I34" s="86"/>
      <c r="J34" s="21"/>
      <c r="K34" s="124"/>
      <c r="L34" s="366" t="s">
        <v>259</v>
      </c>
      <c r="M34" s="37" t="str">
        <f>IF('Design Info'!D17="","",'Design Info'!D17)</f>
        <v>555-555-5555</v>
      </c>
      <c r="Q34" s="167">
        <f>'Agg. Info'!B8</f>
        <v>0</v>
      </c>
      <c r="R34" s="50">
        <f t="shared" si="7"/>
      </c>
      <c r="S34" s="323"/>
      <c r="T34" s="42">
        <f>IF(Units=1,IF(Q3=1,21627,"21627M"),IF(Q3=1,21627,"21627M"))</f>
        <v>21627</v>
      </c>
      <c r="U34" s="39" t="s">
        <v>271</v>
      </c>
      <c r="V34" s="43">
        <f>IF('Design Info'!$R$13=12,"X","")</f>
      </c>
      <c r="W34" s="17"/>
      <c r="X34" s="454">
        <f t="shared" si="8"/>
      </c>
      <c r="Y34" s="454">
        <f t="shared" si="9"/>
      </c>
      <c r="Z34" s="454">
        <f t="shared" si="10"/>
      </c>
      <c r="AA34" s="452">
        <f t="shared" si="11"/>
      </c>
      <c r="AB34" s="453">
        <f t="shared" si="12"/>
      </c>
      <c r="AC34" s="453">
        <f t="shared" si="13"/>
      </c>
      <c r="AD34" s="453">
        <f t="shared" si="14"/>
      </c>
      <c r="AE34" s="453">
        <f t="shared" si="15"/>
      </c>
      <c r="AF34" s="453">
        <f t="shared" si="16"/>
      </c>
      <c r="AG34" s="453">
        <f t="shared" si="17"/>
      </c>
      <c r="AH34" s="453">
        <f t="shared" si="18"/>
      </c>
    </row>
    <row r="35" spans="1:34" ht="15">
      <c r="A35" s="21"/>
      <c r="B35" s="269">
        <f>IF('FDM &amp; Admix'!B14="","",'FDM &amp; Admix'!B14)</f>
        <v>43000</v>
      </c>
      <c r="C35" s="164" t="str">
        <f>'FDM &amp; Admix'!Q19</f>
        <v>A</v>
      </c>
      <c r="D35" s="252" t="str">
        <f>IF('FDM &amp; Admix'!E14="","",UPPER('FDM &amp; Admix'!E14))</f>
        <v>WATER REDUCTO 2000</v>
      </c>
      <c r="E35" s="198"/>
      <c r="F35" s="187"/>
      <c r="G35" s="252">
        <f>IF('FDM &amp; Admix'!G14="","",'FDM &amp; Admix'!G14)</f>
      </c>
      <c r="H35" s="19"/>
      <c r="I35" s="86"/>
      <c r="J35" s="21"/>
      <c r="K35" s="170"/>
      <c r="L35" s="366" t="s">
        <v>260</v>
      </c>
      <c r="M35" s="37" t="str">
        <f>IF('Design Info'!D18="","",'Design Info'!D18)</f>
        <v>john.smith@email.com</v>
      </c>
      <c r="Q35" s="167">
        <f>'Agg. Info'!B9</f>
        <v>0</v>
      </c>
      <c r="R35" s="50">
        <f t="shared" si="7"/>
      </c>
      <c r="S35" s="323"/>
      <c r="T35" s="42">
        <f>IF(Units=1,IF(Q3=1,21628,"21628M"),IF(Q3=1,21628,"21628M"))</f>
        <v>21628</v>
      </c>
      <c r="U35" s="30" t="s">
        <v>272</v>
      </c>
      <c r="V35" s="43">
        <f>IF('Design Info'!$R$13=13,"X","")</f>
      </c>
      <c r="W35" s="17"/>
      <c r="X35" s="454">
        <f t="shared" si="8"/>
      </c>
      <c r="Y35" s="454">
        <f t="shared" si="9"/>
      </c>
      <c r="Z35" s="454">
        <f t="shared" si="10"/>
      </c>
      <c r="AA35" s="452">
        <f t="shared" si="11"/>
      </c>
      <c r="AB35" s="453">
        <f t="shared" si="12"/>
      </c>
      <c r="AC35" s="453">
        <f t="shared" si="13"/>
      </c>
      <c r="AD35" s="453">
        <f t="shared" si="14"/>
      </c>
      <c r="AE35" s="453">
        <f t="shared" si="15"/>
      </c>
      <c r="AF35" s="453">
        <f t="shared" si="16"/>
      </c>
      <c r="AG35" s="453">
        <f t="shared" si="17"/>
      </c>
      <c r="AH35" s="453">
        <f t="shared" si="18"/>
      </c>
    </row>
    <row r="36" spans="1:34" ht="15">
      <c r="A36" s="21"/>
      <c r="B36" s="269">
        <f>IF('FDM &amp; Admix'!B15="","",'FDM &amp; Admix'!B15)</f>
      </c>
      <c r="C36" s="164">
        <f>'FDM &amp; Admix'!Q20</f>
      </c>
      <c r="D36" s="252">
        <f>IF('FDM &amp; Admix'!E15="","",UPPER('FDM &amp; Admix'!E15))</f>
      </c>
      <c r="E36" s="198"/>
      <c r="F36" s="188"/>
      <c r="G36" s="252">
        <f>IF('FDM &amp; Admix'!G15="","",'FDM &amp; Admix'!G15)</f>
      </c>
      <c r="H36" s="19"/>
      <c r="I36" s="86"/>
      <c r="J36" s="21"/>
      <c r="K36" s="169"/>
      <c r="L36" s="287"/>
      <c r="M36" s="37"/>
      <c r="O36" s="301" t="s">
        <v>234</v>
      </c>
      <c r="Q36" s="167">
        <f>'Agg. Info'!B10</f>
        <v>0</v>
      </c>
      <c r="R36" s="50">
        <f t="shared" si="7"/>
      </c>
      <c r="S36" s="323"/>
      <c r="T36" s="42">
        <f>IF(Units=1,IF(Q3=1,21629,"21629M"),IF(Q3=1,21629,"21629M"))</f>
        <v>21629</v>
      </c>
      <c r="U36" s="30" t="s">
        <v>251</v>
      </c>
      <c r="V36" s="43">
        <f>IF('Design Info'!$R$13=14,"X","")</f>
      </c>
      <c r="W36" s="17"/>
      <c r="X36" s="454">
        <f t="shared" si="8"/>
      </c>
      <c r="Y36" s="454">
        <f t="shared" si="9"/>
      </c>
      <c r="Z36" s="454">
        <f t="shared" si="10"/>
      </c>
      <c r="AA36" s="452">
        <f t="shared" si="11"/>
      </c>
      <c r="AB36" s="453">
        <f t="shared" si="12"/>
      </c>
      <c r="AC36" s="453">
        <f t="shared" si="13"/>
      </c>
      <c r="AD36" s="453">
        <f t="shared" si="14"/>
      </c>
      <c r="AE36" s="453">
        <f t="shared" si="15"/>
      </c>
      <c r="AF36" s="453">
        <f t="shared" si="16"/>
      </c>
      <c r="AG36" s="453">
        <f t="shared" si="17"/>
      </c>
      <c r="AH36" s="453">
        <f t="shared" si="18"/>
      </c>
    </row>
    <row r="37" spans="2:34" ht="15.75" customHeight="1">
      <c r="B37" s="269">
        <f>IF('FDM &amp; Admix'!B16="","",'FDM &amp; Admix'!B16)</f>
      </c>
      <c r="C37" s="321">
        <f>'FDM &amp; Admix'!Q21</f>
      </c>
      <c r="D37" s="252">
        <f>IF('FDM &amp; Admix'!E16="","",UPPER('FDM &amp; Admix'!E16))</f>
      </c>
      <c r="E37" s="198"/>
      <c r="F37" s="131"/>
      <c r="G37" s="252">
        <f>IF('FDM &amp; Admix'!G16="","",'FDM &amp; Admix'!G16)</f>
      </c>
      <c r="H37" s="19"/>
      <c r="I37" s="86"/>
      <c r="J37" s="21"/>
      <c r="K37" s="169"/>
      <c r="L37" s="169"/>
      <c r="M37" s="169"/>
      <c r="N37" s="169"/>
      <c r="O37" s="302">
        <f ca="1">NOW()</f>
        <v>45082.54176111111</v>
      </c>
      <c r="Q37" s="167">
        <f>'Agg. Info'!B11</f>
        <v>0</v>
      </c>
      <c r="R37" s="50">
        <f t="shared" si="7"/>
      </c>
      <c r="S37" s="323"/>
      <c r="T37" s="42">
        <f>IF(Units=1,IF(Q3=1,21632,"21632M"),IF(Q3=1,21632,"21632M"))</f>
        <v>21632</v>
      </c>
      <c r="U37" s="30" t="s">
        <v>252</v>
      </c>
      <c r="V37" s="43">
        <f>IF('Design Info'!$R$13=15,"X","")</f>
      </c>
      <c r="W37" s="17"/>
      <c r="X37" s="454">
        <f t="shared" si="8"/>
      </c>
      <c r="Y37" s="454">
        <f t="shared" si="9"/>
      </c>
      <c r="Z37" s="454">
        <f t="shared" si="10"/>
      </c>
      <c r="AA37" s="452">
        <f t="shared" si="11"/>
      </c>
      <c r="AB37" s="453">
        <f t="shared" si="12"/>
      </c>
      <c r="AC37" s="453">
        <f t="shared" si="13"/>
      </c>
      <c r="AD37" s="453">
        <f t="shared" si="14"/>
      </c>
      <c r="AE37" s="453">
        <f t="shared" si="15"/>
      </c>
      <c r="AF37" s="453">
        <f t="shared" si="16"/>
      </c>
      <c r="AG37" s="453">
        <f t="shared" si="17"/>
      </c>
      <c r="AH37" s="453">
        <f t="shared" si="18"/>
      </c>
    </row>
    <row r="38" spans="2:29" ht="15.75" customHeight="1">
      <c r="B38" s="317"/>
      <c r="C38" s="268"/>
      <c r="D38" s="318"/>
      <c r="E38" s="37"/>
      <c r="F38" s="37"/>
      <c r="G38" s="319"/>
      <c r="H38" s="320"/>
      <c r="I38" s="86"/>
      <c r="J38" s="37"/>
      <c r="K38" s="124"/>
      <c r="L38" s="300"/>
      <c r="M38" s="300"/>
      <c r="R38" s="158" t="str">
        <f>IF('FDM &amp; Admix'!S3="","",IF(Units=1,IF($Q$3=1,'FDM &amp; Admix'!S3,'FDM &amp; Admix'!S3&amp;"M"),IF($Q$3=1,LEFT('FDM &amp; Admix'!S3,5),'FDM &amp; Admix'!S3)))</f>
        <v>37708</v>
      </c>
      <c r="T38" s="42">
        <f>IF(Units=1,IF(Q3=1,21633,"21633M"),IF(Q3=1,21633,"21633M"))</f>
        <v>21633</v>
      </c>
      <c r="U38" s="30" t="s">
        <v>273</v>
      </c>
      <c r="V38" s="43">
        <f>IF('Design Info'!$R$13=16,"X","")</f>
      </c>
      <c r="W38" s="17"/>
      <c r="Z38" s="17"/>
      <c r="AA38" s="17"/>
      <c r="AB38" s="17"/>
      <c r="AC38" s="17"/>
    </row>
    <row r="39" spans="18:23" ht="15">
      <c r="R39" s="158" t="str">
        <f>IF(OR('FDM &amp; Admix'!Z3="",'FDM &amp; Admix'!Z3="n/a"),"",IF(Units=1,IF($Q$3=1,'FDM &amp; Admix'!Z3,'FDM &amp; Admix'!Z3&amp;"M"),IF($Q$3=1,LEFT('FDM &amp; Admix'!Z3,5),'FDM &amp; Admix'!Z3)))</f>
        <v>37801</v>
      </c>
      <c r="T39" s="42">
        <f>IF(Units=1,IF(Q3=1,21634,"21634M"),IF(Q3=1,21634,"21634M"))</f>
        <v>21634</v>
      </c>
      <c r="U39" s="30" t="s">
        <v>253</v>
      </c>
      <c r="V39" s="43">
        <f>IF('Design Info'!$R$13=17,"X","")</f>
      </c>
      <c r="W39" s="17"/>
    </row>
    <row r="40" spans="1:23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37"/>
      <c r="M40" s="37"/>
      <c r="N40" s="37"/>
      <c r="R40" s="158">
        <f>IF(OR('FDM &amp; Admix'!Z7="",'FDM &amp; Admix'!Z7="n/a"),"",IF(Units=1,IF($Q$3=1,'FDM &amp; Admix'!Z7,'FDM &amp; Admix'!Z7&amp;"M"),IF($Q$3=1,LEFT('FDM &amp; Admix'!Z7,5),'FDM &amp; Admix'!Z7)))</f>
      </c>
      <c r="T40" s="42">
        <f>IF(Units=1,IF(Q3=1,21635,"21635M"),IF(Q3=1,21635,"21635M"))</f>
        <v>21635</v>
      </c>
      <c r="U40" s="30" t="s">
        <v>254</v>
      </c>
      <c r="V40" s="43">
        <f>IF('Design Info'!$R$13=18,"X","")</f>
      </c>
      <c r="W40" s="17"/>
    </row>
    <row r="41" spans="18:23" ht="15">
      <c r="R41" s="158">
        <f>IF(OR('FDM &amp; Admix'!Z11="",'FDM &amp; Admix'!Z11="n/a"),"",IF(Units=1,IF($Q$3=1,'FDM &amp; Admix'!Z11,'FDM &amp; Admix'!Z11&amp;"M"),IF($Q$3=1,LEFT('FDM &amp; Admix'!Z11,5),'FDM &amp; Admix'!Z11)))</f>
      </c>
      <c r="T41" s="42">
        <f>IF(Units=1,IF(Q3=1,21636,"21636M"),IF(Q3=1,21636,"21636M"))</f>
        <v>21636</v>
      </c>
      <c r="U41" s="30" t="s">
        <v>255</v>
      </c>
      <c r="V41" s="43">
        <f>IF('Design Info'!$R$13=19,"X","")</f>
      </c>
      <c r="W41" s="17"/>
    </row>
    <row r="42" spans="19:23" ht="15">
      <c r="S42" s="135"/>
      <c r="T42" s="42">
        <f>IF(Units=1,IF(Q3=1,21637,"21637M"),IF(Q3=1,21637,"21637M"))</f>
        <v>21637</v>
      </c>
      <c r="U42" s="30" t="s">
        <v>379</v>
      </c>
      <c r="V42" s="43">
        <f>IF('Design Info'!$R$13=20,"X","")</f>
      </c>
      <c r="W42" s="17"/>
    </row>
    <row r="43" spans="18:23" ht="15">
      <c r="R43" s="37"/>
      <c r="S43" s="135"/>
      <c r="T43" s="42">
        <f>IF(Units=1,IF(Q3=1,21638,"21638M"),IF(Q3=1,21638,"21638M"))</f>
        <v>21638</v>
      </c>
      <c r="U43" s="30" t="s">
        <v>380</v>
      </c>
      <c r="V43" s="43">
        <f>IF('Design Info'!$R$13=21,"X","")</f>
      </c>
      <c r="W43" s="17"/>
    </row>
    <row r="44" spans="18:23" ht="15">
      <c r="R44" s="136"/>
      <c r="S44" s="135"/>
      <c r="T44" s="42">
        <f>IF(Units=1,IF(Q3=1,21640,"21640M"),IF(Q3=1,21636,"21640M"))</f>
        <v>21640</v>
      </c>
      <c r="U44" s="30" t="s">
        <v>376</v>
      </c>
      <c r="V44" s="43">
        <f>IF('Design Info'!$R$13=22,"X","")</f>
      </c>
      <c r="W44" s="17"/>
    </row>
    <row r="45" spans="18:23" ht="15">
      <c r="R45" s="136"/>
      <c r="S45" s="135"/>
      <c r="T45" s="42">
        <f>IF(Units=1,IF(Q3=1,21641,"21641M"),IF(Q3=1,21641,"21641M"))</f>
        <v>21641</v>
      </c>
      <c r="U45" s="30" t="s">
        <v>377</v>
      </c>
      <c r="V45" s="43">
        <f>IF('Design Info'!$R$13=23,"X","")</f>
      </c>
      <c r="W45" s="17"/>
    </row>
    <row r="46" spans="18:22" ht="15">
      <c r="R46" s="136"/>
      <c r="S46" s="135"/>
      <c r="T46" s="42">
        <f>IF(Units=1,IF(Q3=1,21642,"21642M"),IF(Q3=1,21642,"21642M"))</f>
        <v>21642</v>
      </c>
      <c r="U46" s="30" t="s">
        <v>378</v>
      </c>
      <c r="V46" s="43">
        <f>IF('Design Info'!$R$13=24,"X","")</f>
      </c>
    </row>
    <row r="47" spans="18:22" ht="15">
      <c r="R47" s="136"/>
      <c r="S47" s="135"/>
      <c r="T47" s="42">
        <f>IF(Units=1,IF(Q3=1,21643,"21643M"),IF(Q3=1,21643,"21643M"))</f>
        <v>21643</v>
      </c>
      <c r="U47" s="30" t="s">
        <v>386</v>
      </c>
      <c r="V47" s="43">
        <f>IF('Design Info'!$R$13=25,"X","")</f>
      </c>
    </row>
    <row r="48" spans="20:22" ht="15">
      <c r="T48" s="42">
        <f>IF(Units=1,IF(Q3=1,21801,"21801M"),IF(Q3=1,21801,"21801M"))</f>
        <v>21801</v>
      </c>
      <c r="U48" s="30" t="s">
        <v>274</v>
      </c>
      <c r="V48" s="43">
        <f>IF('Design Info'!$R$13=26,"X","")</f>
      </c>
    </row>
    <row r="49" spans="20:22" ht="15">
      <c r="T49" s="42">
        <f>IF(Units=1,IF(Q3=1,21803,"21803M"),IF(Q3=1,21803,"21803M"))</f>
        <v>21803</v>
      </c>
      <c r="U49" s="30" t="s">
        <v>275</v>
      </c>
      <c r="V49" s="43">
        <f>IF('Design Info'!$R$13=27,"X","")</f>
      </c>
    </row>
    <row r="50" spans="20:22" ht="15" customHeight="1">
      <c r="T50" s="42">
        <f>IF(Units=1,IF(Q3=1,22106,"22106M"),IF(Q3=1,22106,"22106M"))</f>
        <v>22106</v>
      </c>
      <c r="U50" s="266" t="s">
        <v>276</v>
      </c>
      <c r="V50" s="43">
        <f>IF('Design Info'!$R$13=28,"X","")</f>
      </c>
    </row>
    <row r="51" spans="20:22" ht="15">
      <c r="T51" s="42">
        <f>IF(Units=1,IF(Q3=1,22107,"22107M"),IF(Q3=1,22107,"22107M"))</f>
        <v>22107</v>
      </c>
      <c r="U51" s="266" t="s">
        <v>277</v>
      </c>
      <c r="V51" s="43">
        <f>IF('Design Info'!$R$13=29,"X","")</f>
      </c>
    </row>
    <row r="102" ht="15" customHeight="1"/>
  </sheetData>
  <sheetProtection password="EE35" sheet="1"/>
  <mergeCells count="20">
    <mergeCell ref="C30:K30"/>
    <mergeCell ref="J19:K19"/>
    <mergeCell ref="J20:K20"/>
    <mergeCell ref="J22:K22"/>
    <mergeCell ref="C29:K29"/>
    <mergeCell ref="G28:I28"/>
    <mergeCell ref="M5:N5"/>
    <mergeCell ref="M11:N11"/>
    <mergeCell ref="J12:K12"/>
    <mergeCell ref="M7:N7"/>
    <mergeCell ref="K7:L7"/>
    <mergeCell ref="I7:J7"/>
    <mergeCell ref="J18:K18"/>
    <mergeCell ref="J13:K13"/>
    <mergeCell ref="C28:D28"/>
    <mergeCell ref="J21:K21"/>
    <mergeCell ref="J14:K14"/>
    <mergeCell ref="J15:K15"/>
    <mergeCell ref="J16:K16"/>
    <mergeCell ref="J17:K17"/>
  </mergeCells>
  <printOptions horizontalCentered="1" verticalCentered="1"/>
  <pageMargins left="0.5" right="0.5" top="0.5" bottom="0.5" header="0.5" footer="0.5"/>
  <pageSetup blackAndWhite="1" fitToHeight="1" fitToWidth="1" horizontalDpi="600" verticalDpi="600" orientation="landscape" scale="85" r:id="rId1"/>
  <headerFooter alignWithMargins="0">
    <oddFooter>&amp;L&amp;"Arial,Regular"&amp;10Printed &amp;D&amp;C&amp;"Arial,Regular"&amp;10Page 1 of 2&amp;R&amp;"Arial,Regular"&amp;10BMPR CNMX01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I51"/>
  <sheetViews>
    <sheetView showGridLines="0" zoomScale="102" zoomScaleNormal="102" zoomScalePageLayoutView="0" workbookViewId="0" topLeftCell="A1">
      <selection activeCell="G34" sqref="G34"/>
    </sheetView>
  </sheetViews>
  <sheetFormatPr defaultColWidth="9.69921875" defaultRowHeight="15.75"/>
  <cols>
    <col min="1" max="1" width="6.59765625" style="3" customWidth="1"/>
    <col min="2" max="3" width="5.69921875" style="3" customWidth="1"/>
    <col min="4" max="4" width="6.09765625" style="3" customWidth="1"/>
    <col min="5" max="6" width="6.69921875" style="3" customWidth="1"/>
    <col min="7" max="7" width="11.69921875" style="3" customWidth="1"/>
    <col min="8" max="9" width="7.69921875" style="3" customWidth="1"/>
    <col min="10" max="10" width="6.69921875" style="3" customWidth="1"/>
    <col min="11" max="13" width="7.69921875" style="3" customWidth="1"/>
    <col min="14" max="14" width="10.69921875" style="3" customWidth="1"/>
    <col min="15" max="15" width="11.19921875" style="3" customWidth="1"/>
    <col min="16" max="16" width="9.09765625" style="3" customWidth="1"/>
    <col min="17" max="18" width="9.69921875" style="3" customWidth="1"/>
    <col min="19" max="19" width="9.69921875" style="21" customWidth="1"/>
    <col min="20" max="25" width="9.69921875" style="3" customWidth="1"/>
    <col min="26" max="26" width="5.19921875" style="3" customWidth="1"/>
    <col min="27" max="27" width="9.69921875" style="3" customWidth="1"/>
    <col min="28" max="28" width="7.19921875" style="3" customWidth="1"/>
    <col min="29" max="34" width="3.69921875" style="3" customWidth="1"/>
    <col min="35" max="16384" width="9.69921875" style="3" customWidth="1"/>
  </cols>
  <sheetData>
    <row r="1" spans="1:27" ht="15">
      <c r="A1" s="93" t="s">
        <v>25</v>
      </c>
      <c r="B1" s="92"/>
      <c r="C1" s="21"/>
      <c r="E1" s="152"/>
      <c r="F1" s="104"/>
      <c r="H1" s="92"/>
      <c r="I1" s="105"/>
      <c r="J1" s="104"/>
      <c r="K1" s="105"/>
      <c r="L1" s="104"/>
      <c r="M1" s="105"/>
      <c r="O1" s="286" t="str">
        <f>'Design Info'!J1</f>
        <v>Version X1.0</v>
      </c>
      <c r="Q1" s="17"/>
      <c r="T1" s="3" t="s">
        <v>80</v>
      </c>
      <c r="W1" s="3" t="s">
        <v>81</v>
      </c>
      <c r="AA1" s="87"/>
    </row>
    <row r="2" spans="1:24" ht="15">
      <c r="A2" s="92"/>
      <c r="B2" s="92"/>
      <c r="C2" s="92"/>
      <c r="D2" s="92"/>
      <c r="E2" s="92"/>
      <c r="F2" s="92"/>
      <c r="G2" s="270"/>
      <c r="H2" s="92"/>
      <c r="I2" s="92"/>
      <c r="J2" s="92"/>
      <c r="K2" s="92"/>
      <c r="L2" s="92"/>
      <c r="M2" s="92"/>
      <c r="N2" s="92"/>
      <c r="Q2" s="256" t="s">
        <v>158</v>
      </c>
      <c r="R2" s="17"/>
      <c r="T2" s="149">
        <f>IF(Variables!$C$11=5.1,0.426,IF(Variables!$C$11=5.3,0.442,IF(Variables!$C$11=5.5,0.459,ROUND(Variables!$C$11/11.98,3))))</f>
        <v>0.035</v>
      </c>
      <c r="U2" s="17" t="s">
        <v>78</v>
      </c>
      <c r="W2" s="149">
        <f>IF(Variables!$C$12=0.2,0.017,Variables!$C$12/11.98)</f>
        <v>0</v>
      </c>
      <c r="X2" s="3" t="s">
        <v>78</v>
      </c>
    </row>
    <row r="3" spans="1:24" ht="15">
      <c r="A3" s="92" t="s">
        <v>350</v>
      </c>
      <c r="B3" s="92"/>
      <c r="C3" s="102" t="e">
        <f>IF(#REF!="","Not Assigned",UPPER(#REF!))</f>
        <v>#REF!</v>
      </c>
      <c r="D3" s="103"/>
      <c r="E3" s="21"/>
      <c r="F3" s="101" t="s">
        <v>32</v>
      </c>
      <c r="G3" s="157" t="str">
        <f>$T$10</f>
        <v>21605M</v>
      </c>
      <c r="H3" s="92" t="str">
        <f>$U$10</f>
        <v>CONCRETE PC FLYASH</v>
      </c>
      <c r="I3" s="92"/>
      <c r="J3" s="92"/>
      <c r="K3" s="92"/>
      <c r="L3" s="116"/>
      <c r="M3" s="101" t="s">
        <v>145</v>
      </c>
      <c r="N3" s="525" t="e">
        <f>IF(#REF!="","",#REF!)</f>
        <v>#REF!</v>
      </c>
      <c r="O3" s="273"/>
      <c r="Q3" s="257">
        <v>2</v>
      </c>
      <c r="T3" s="150">
        <f>IF(Variables!$C$11=0.426,5.1,IF(Variables!$C$11=0.442,5.3,IF(Variables!$C$11=0.459,5.5,ROUND(Variables!$C$11*11.98,1))))</f>
        <v>5</v>
      </c>
      <c r="U3" s="20" t="s">
        <v>79</v>
      </c>
      <c r="W3" s="149">
        <f>IF(Variables!$C$12=0.017,0.2,Variables!$C$12*11.98)</f>
        <v>0</v>
      </c>
      <c r="X3" s="3" t="s">
        <v>79</v>
      </c>
    </row>
    <row r="4" spans="1:14" ht="15">
      <c r="A4" s="168" t="s">
        <v>351</v>
      </c>
      <c r="B4" s="92"/>
      <c r="C4" s="102" t="str">
        <f>IF('Design Info'!D3="","",UPPER('Design Info'!D3))</f>
        <v>PMC0001PV</v>
      </c>
      <c r="D4" s="103"/>
      <c r="E4" s="21"/>
      <c r="F4" s="101" t="s">
        <v>33</v>
      </c>
      <c r="G4" s="271" t="str">
        <f>IF('Design Info'!O3="","",'Design Info'!O3)</f>
        <v>PV </v>
      </c>
      <c r="H4" s="92"/>
      <c r="I4" s="92"/>
      <c r="J4" s="101"/>
      <c r="K4" s="17"/>
      <c r="L4" s="21"/>
      <c r="M4" s="101"/>
      <c r="N4" s="347"/>
    </row>
    <row r="5" spans="1:23" ht="15.75" customHeight="1">
      <c r="A5" s="92" t="s">
        <v>109</v>
      </c>
      <c r="B5" s="249">
        <f>$T$6</f>
        <v>91</v>
      </c>
      <c r="C5" s="201" t="str">
        <f>$U$6</f>
        <v>DISTRICT 1</v>
      </c>
      <c r="D5" s="92"/>
      <c r="E5" s="153"/>
      <c r="F5" s="86"/>
      <c r="G5" s="236"/>
      <c r="H5" s="21"/>
      <c r="L5" s="101" t="s">
        <v>34</v>
      </c>
      <c r="M5" s="597" t="e">
        <f>IF(#REF!="","",#REF!)</f>
        <v>#REF!</v>
      </c>
      <c r="N5" s="597"/>
      <c r="Q5" s="37"/>
      <c r="R5" s="37"/>
      <c r="T5" s="3" t="s">
        <v>40</v>
      </c>
      <c r="W5" s="3" t="s">
        <v>193</v>
      </c>
    </row>
    <row r="6" spans="1:23" ht="15" customHeight="1">
      <c r="A6" s="86"/>
      <c r="B6" s="86"/>
      <c r="C6" s="86"/>
      <c r="D6" s="153"/>
      <c r="E6" s="153"/>
      <c r="F6" s="86"/>
      <c r="G6" s="236"/>
      <c r="H6" s="153"/>
      <c r="I6" s="153"/>
      <c r="J6" s="21"/>
      <c r="K6" s="21"/>
      <c r="L6" s="21"/>
      <c r="M6" s="21"/>
      <c r="N6" s="21"/>
      <c r="Q6" s="37"/>
      <c r="R6" s="37"/>
      <c r="T6" s="23">
        <f>IF('Design Info'!$M$13=1,"",LOOKUP("X",V13:V23,T13:T23))</f>
        <v>91</v>
      </c>
      <c r="U6" s="24" t="str">
        <f>IF('Design Info'!$M$13=1,"",LOOKUP("X",V13:V23,U13:U23))</f>
        <v>DISTRICT 1</v>
      </c>
      <c r="W6" s="149">
        <f>IF(OR('Design Info'!R12="21620",'Design Info'!R12="21621",'Agg. Info'!F12=0),1,'Agg. Info'!E15)</f>
        <v>0.39</v>
      </c>
    </row>
    <row r="7" spans="1:21" ht="15">
      <c r="A7" s="27" t="s">
        <v>110</v>
      </c>
      <c r="B7" s="27"/>
      <c r="C7" s="27" t="s">
        <v>111</v>
      </c>
      <c r="D7" s="106" t="s">
        <v>112</v>
      </c>
      <c r="E7" s="27" t="s">
        <v>113</v>
      </c>
      <c r="F7" s="27" t="s">
        <v>107</v>
      </c>
      <c r="G7" s="27" t="s">
        <v>146</v>
      </c>
      <c r="H7" s="27" t="s">
        <v>114</v>
      </c>
      <c r="I7" s="601" t="s">
        <v>63</v>
      </c>
      <c r="J7" s="601"/>
      <c r="K7" s="601" t="str">
        <f>IF(Units=1,IF(Q3=1,"{GAL/CWT}","{L / KG}"),IF(Q3=1,"{GAL/CWT}","{L / KG}"))</f>
        <v>{L / KG}</v>
      </c>
      <c r="L7" s="601"/>
      <c r="M7" s="601" t="s">
        <v>64</v>
      </c>
      <c r="N7" s="601"/>
      <c r="Q7" s="37"/>
      <c r="R7" s="37"/>
      <c r="T7" s="21"/>
      <c r="U7" s="21"/>
    </row>
    <row r="8" spans="1:21" ht="15">
      <c r="A8" s="27" t="str">
        <f>IF(Units=1,IF(Q3=1,"CU YD","CU M"),IF(Q3=1,"CU YD","CU M"))</f>
        <v>CU M</v>
      </c>
      <c r="B8" s="27" t="s">
        <v>115</v>
      </c>
      <c r="C8" s="27" t="s">
        <v>116</v>
      </c>
      <c r="D8" s="106" t="s">
        <v>117</v>
      </c>
      <c r="E8" s="27" t="s">
        <v>118</v>
      </c>
      <c r="F8" s="27" t="s">
        <v>119</v>
      </c>
      <c r="G8" s="27" t="s">
        <v>126</v>
      </c>
      <c r="H8" s="27" t="s">
        <v>120</v>
      </c>
      <c r="I8" s="27" t="s">
        <v>121</v>
      </c>
      <c r="J8" s="106" t="s">
        <v>122</v>
      </c>
      <c r="K8" s="106" t="s">
        <v>122</v>
      </c>
      <c r="L8" s="27" t="s">
        <v>123</v>
      </c>
      <c r="M8" s="27" t="s">
        <v>108</v>
      </c>
      <c r="N8" s="106" t="s">
        <v>178</v>
      </c>
      <c r="Q8" s="37"/>
      <c r="R8" s="37"/>
      <c r="T8" s="21"/>
      <c r="U8" s="21"/>
    </row>
    <row r="9" spans="1:20" ht="15">
      <c r="A9" s="134">
        <v>1</v>
      </c>
      <c r="B9" s="494" t="s">
        <v>397</v>
      </c>
      <c r="C9" s="370">
        <f>IF(Variables!J3=1,Variables!$C$13,((0.442-H24)/0.442)*100)</f>
        <v>4.977375565610864</v>
      </c>
      <c r="D9" s="494" t="s">
        <v>397</v>
      </c>
      <c r="E9" s="242">
        <f>IF(Variables!C6="","",Variables!C6)</f>
        <v>6.5</v>
      </c>
      <c r="F9" s="243" t="str">
        <f>IF(W6=1,".01",RIGHT(FIXED(W6,2,TRUE),3))</f>
        <v>.39</v>
      </c>
      <c r="G9" s="357">
        <f>IF(Units=1,IF(Q3=1,Variables!C4,ROUNDUP(ROUND(Variables!C4*100*0.5935,0)/2.5,0)*2.5),IF(Q3=1,ROUNDUP(ROUND(Variables!C4*1.685,0)/5,0)*5/100,Variables!C4))</f>
        <v>320</v>
      </c>
      <c r="H9" s="108">
        <f>IF(OR('Design Info'!R12="21801",'Design Info'!R12="21803"),((1-M9)*(1-W6))/M9,IF(OR('Design Info'!R12="21620",'Design Info'!R12="21621",'Agg. Info'!F12=0),"1.00",Variables!C5))</f>
        <v>0.83</v>
      </c>
      <c r="I9" s="94" t="str">
        <f>IF('FDM &amp; Admix'!Y3=3,"C",IF('FDM &amp; Admix'!Y3=4,"F",""))</f>
        <v>C</v>
      </c>
      <c r="J9" s="94" t="str">
        <f>IF(Variables!J3=1,IF(Variables!M8=2,"A",IF(Variables!M8=3,"B",IF(Variables!M8=4,"C",""))),"B")</f>
        <v>B</v>
      </c>
      <c r="K9" s="358">
        <f>IF(Variables!J3=1,IF(Units=1,IF(Q3=1,Variables!$C$11,T2),IF(Q3=1,T3,Variables!$C$11)),IF(Q3=1,5.3,0.442))</f>
        <v>0.442</v>
      </c>
      <c r="L9" s="358">
        <f>IF(Variables!$C$12="",0,IF(Units=1,IF(Q3=1,Variables!$C$12,W2),IF(Q3=1,W3,Variables!$C$12)))</f>
        <v>0</v>
      </c>
      <c r="M9" s="360">
        <f>IF(OR('Design Info'!R12="21620",'Design Info'!R12="21621",'Agg. Info'!F12=0),"0.0000",IF('Design Info'!R12="21606",ROUND(1/(1+(H9/(1-W6))),4)-ROUND(Y28,4),IF(OR('Design Info'!R12="21801",'Design Info'!R12="21803"),IF(Q3=1,ROUND(('Agg. Info'!F12/100)*(1-SUM(R19:R24)),4),ROUND(('Agg. Info'!F12/100)*(1-SUM(S19:S24)),4)),IF(W6=1,"0.000",ROUND(1/(1+(H9/(1-W6))),4)))))</f>
        <v>0.4236</v>
      </c>
      <c r="N9" s="361">
        <f>IF(OR('Design Info'!R12="21801",'Design Info'!R12="21803"),IF(Q3=1,ROUND(('Agg. Info'!F13/100)*(1-SUM(R19:R24)),4),ROUND(('Agg. Info'!F13/100)*(1-SUM(S19:S24)),4)),IF('Design Info'!R12="21606",IF(Q3=1,ROUND(1-R26-Y29,4),ROUND(1-S26-Y29,4)),IF(Q3=1,ROUND(1-R26,4),ROUND(1-S26,4))))</f>
        <v>0.27</v>
      </c>
      <c r="Q9" s="37"/>
      <c r="R9" s="37"/>
      <c r="T9" s="3" t="s">
        <v>58</v>
      </c>
    </row>
    <row r="10" spans="1:21" ht="15">
      <c r="A10" s="95"/>
      <c r="B10" s="21"/>
      <c r="C10" s="109"/>
      <c r="D10" s="110"/>
      <c r="E10" s="109"/>
      <c r="F10" s="241"/>
      <c r="G10" s="111"/>
      <c r="H10" s="112"/>
      <c r="I10" s="110"/>
      <c r="J10" s="110"/>
      <c r="K10" s="471"/>
      <c r="L10" s="359"/>
      <c r="M10" s="110"/>
      <c r="N10" s="110"/>
      <c r="Q10" s="37"/>
      <c r="R10" s="37"/>
      <c r="T10" s="23" t="str">
        <f>IF('Design Info'!$R$13=1,"",LOOKUP("X",V24:V51,T24:T51))</f>
        <v>21605M</v>
      </c>
      <c r="U10" s="3" t="str">
        <f>IF('Design Info'!$R$13=1,"",LOOKUP("X",V24:V51,U24:U51))</f>
        <v>CONCRETE PC FLYASH</v>
      </c>
    </row>
    <row r="11" spans="1:30" ht="15">
      <c r="A11" s="96"/>
      <c r="B11" s="21"/>
      <c r="C11" s="21"/>
      <c r="D11" s="21"/>
      <c r="E11" s="21"/>
      <c r="F11" s="21"/>
      <c r="G11" s="114"/>
      <c r="H11" s="142"/>
      <c r="I11" s="21"/>
      <c r="J11" s="250"/>
      <c r="K11" s="84"/>
      <c r="L11" s="27" t="s">
        <v>176</v>
      </c>
      <c r="M11" s="598" t="str">
        <f>IF(Units=1,IF(Q3=1,"[LBS / CU YD]","[KG / CU M]"),IF(Q3=1,"[LBS / CU YD]","[KG / CU M]"))</f>
        <v>[KG / CU M]</v>
      </c>
      <c r="N11" s="599"/>
      <c r="O11" s="293" t="str">
        <f>IF(Units=1,IF(Q3=1,"[KG / CU M]","[LBS / CU YD]"),IF(Q3=1,"[KG / CU M]","[LBS / CU YD]"))</f>
        <v>[LBS / CU YD]</v>
      </c>
      <c r="Q11" s="17"/>
      <c r="R11" s="3" t="s">
        <v>124</v>
      </c>
      <c r="S11" s="21" t="s">
        <v>124</v>
      </c>
      <c r="T11" s="21" t="s">
        <v>125</v>
      </c>
      <c r="U11" s="21"/>
      <c r="V11" s="21"/>
      <c r="W11" s="21"/>
      <c r="X11" s="21"/>
      <c r="Y11" s="21"/>
      <c r="AA11" s="467" t="s">
        <v>345</v>
      </c>
      <c r="AB11" s="17"/>
      <c r="AC11" s="17"/>
      <c r="AD11" s="37"/>
    </row>
    <row r="12" spans="1:35" ht="15.75" customHeight="1">
      <c r="A12" s="21" t="s">
        <v>127</v>
      </c>
      <c r="B12" s="21"/>
      <c r="C12" s="21" t="s">
        <v>128</v>
      </c>
      <c r="D12" s="21"/>
      <c r="E12" s="21" t="s">
        <v>129</v>
      </c>
      <c r="F12" s="21"/>
      <c r="G12" s="21"/>
      <c r="H12" s="142"/>
      <c r="I12" s="27" t="s">
        <v>130</v>
      </c>
      <c r="J12" s="600" t="s">
        <v>190</v>
      </c>
      <c r="K12" s="600"/>
      <c r="L12" s="27" t="s">
        <v>175</v>
      </c>
      <c r="M12" s="115" t="s">
        <v>131</v>
      </c>
      <c r="N12" s="292" t="s">
        <v>147</v>
      </c>
      <c r="O12" s="294" t="s">
        <v>147</v>
      </c>
      <c r="P12" s="53"/>
      <c r="Q12" s="25"/>
      <c r="R12" s="24" t="s">
        <v>179</v>
      </c>
      <c r="S12" s="26" t="s">
        <v>62</v>
      </c>
      <c r="T12" s="21" t="s">
        <v>132</v>
      </c>
      <c r="U12" s="21" t="s">
        <v>133</v>
      </c>
      <c r="V12" s="21"/>
      <c r="W12" s="200"/>
      <c r="X12" s="26"/>
      <c r="Y12" s="27"/>
      <c r="AA12" s="501" t="s">
        <v>180</v>
      </c>
      <c r="AB12" s="17"/>
      <c r="AC12" s="17"/>
      <c r="AD12" s="37"/>
      <c r="AH12" s="17"/>
      <c r="AI12" s="17"/>
    </row>
    <row r="13" spans="1:35" ht="15">
      <c r="A13" s="97" t="str">
        <f aca="true" t="shared" si="0" ref="A13:A18">UPPER(R32)</f>
        <v>027FAM01</v>
      </c>
      <c r="B13" s="98"/>
      <c r="C13" s="97" t="str">
        <f>IF('Agg. Info'!C6="","",'Agg. Info'!C6)</f>
        <v>54321-01</v>
      </c>
      <c r="D13" s="98"/>
      <c r="E13" s="117" t="str">
        <f>IF('Agg. Info'!D6="","",UPPER('Agg. Info'!D6))</f>
        <v>LITTLE ROCKS CO.</v>
      </c>
      <c r="F13" s="118"/>
      <c r="G13" s="118"/>
      <c r="H13" s="408"/>
      <c r="I13" s="352">
        <f>IF(A13="","",ROUND('Agg. Info'!E6,3))</f>
        <v>2.66</v>
      </c>
      <c r="J13" s="594">
        <f>IF(Q13="","",IF(Q13="CA",'Agg. Info'!F6/'Agg. Info'!$F$12*100,'Agg. Info'!F6/'Agg. Info'!$F$13*100))</f>
        <v>100</v>
      </c>
      <c r="K13" s="595"/>
      <c r="L13" s="119" t="str">
        <f aca="true" t="shared" si="1" ref="L13:L18">IF(A13="","","--")</f>
        <v>--</v>
      </c>
      <c r="M13" s="120">
        <f aca="true" t="shared" si="2" ref="M13:M18">IF(A13="","",IF(Units=1,IF($Q$3=1,IF(Q13="CA",($M$9*I13*$Q$29)*(J13/100),($N$9*I13*$Q$29)*(J13/100)),IF(Q13="CA",($M$9*I13*1000)*(J13/100),($N$9*I13*1000)*(J13/100))),IF($Q$3=1,IF(Q13="CA",($M$9*I13*$Q$29)*(J13/100),($N$9*I13*$Q$29)*(J13/100)),IF(Q13="CA",($M$9*I13*1000)*(J13/100),($N$9*I13*1000)*(J13/100)))))</f>
        <v>718.2</v>
      </c>
      <c r="N13" s="295">
        <f aca="true" t="shared" si="3" ref="N13:N18">IF(L13&lt;&gt;0,M13*(1+(L13/100)),M13)</f>
        <v>718.2</v>
      </c>
      <c r="O13" s="298">
        <f>'Mix Report (English)'!N13</f>
        <v>1204.9622046000002</v>
      </c>
      <c r="P13" s="52"/>
      <c r="Q13" s="28" t="str">
        <f aca="true" t="shared" si="4" ref="Q13:Q18">IF(A13="","",IF(MID(A13,4,1)="C","CA",IF(MID(A13,4,1)="F","FA")))</f>
        <v>FA</v>
      </c>
      <c r="R13" s="253">
        <f aca="true" t="shared" si="5" ref="R13:R18">IF(Q13="CA",ROUND(M13/(I13*$Q$29),3),"")</f>
      </c>
      <c r="S13" s="254">
        <f aca="true" t="shared" si="6" ref="S13:S18">IF(Q13="CA",ROUND(M13/I13/1000,3),"")</f>
      </c>
      <c r="T13" s="29">
        <v>50</v>
      </c>
      <c r="U13" s="30" t="s">
        <v>39</v>
      </c>
      <c r="V13" s="31">
        <f>IF('Design Info'!$M$13=2,"X","")</f>
      </c>
      <c r="W13" s="200"/>
      <c r="X13" s="26"/>
      <c r="Y13" s="27"/>
      <c r="AA13" s="138"/>
      <c r="AB13" s="17"/>
      <c r="AC13" s="17"/>
      <c r="AD13" s="37"/>
      <c r="AH13" s="17"/>
      <c r="AI13" s="17"/>
    </row>
    <row r="14" spans="1:35" ht="15">
      <c r="A14" s="97" t="str">
        <f t="shared" si="0"/>
        <v>022CAM07</v>
      </c>
      <c r="B14" s="98"/>
      <c r="C14" s="97" t="str">
        <f>IF('Agg. Info'!C7="","",'Agg. Info'!C7)</f>
        <v>12345-05</v>
      </c>
      <c r="D14" s="98"/>
      <c r="E14" s="117" t="str">
        <f>IF('Agg. Info'!D7="","",UPPER('Agg. Info'!D7))</f>
        <v>BIG ROCK CO.</v>
      </c>
      <c r="F14" s="118"/>
      <c r="G14" s="118"/>
      <c r="H14" s="408"/>
      <c r="I14" s="352">
        <f>IF(A14="","",ROUND('Agg. Info'!E7,3))</f>
        <v>2.68</v>
      </c>
      <c r="J14" s="594">
        <f>IF(Q14="","",IF(Q14="CA",'Agg. Info'!F7/'Agg. Info'!$F$12*100,'Agg. Info'!F7/'Agg. Info'!$F$13*100))</f>
        <v>100</v>
      </c>
      <c r="K14" s="595"/>
      <c r="L14" s="119" t="str">
        <f t="shared" si="1"/>
        <v>--</v>
      </c>
      <c r="M14" s="120">
        <f t="shared" si="2"/>
        <v>1135.248</v>
      </c>
      <c r="N14" s="295">
        <f t="shared" si="3"/>
        <v>1135.248</v>
      </c>
      <c r="O14" s="298">
        <f>'Mix Report (English)'!N14</f>
        <v>1911.7462795200001</v>
      </c>
      <c r="Q14" s="28" t="str">
        <f t="shared" si="4"/>
        <v>CA</v>
      </c>
      <c r="R14" s="253">
        <f>IF(Q14="CA",ROUND(M14/(I14*$Q$29),3),"")</f>
        <v>0.252</v>
      </c>
      <c r="S14" s="254">
        <f>IF(Q14="CA",ROUND(M14/I14/1000,3),"")</f>
        <v>0.424</v>
      </c>
      <c r="T14" s="32">
        <v>88</v>
      </c>
      <c r="U14" s="33" t="s">
        <v>134</v>
      </c>
      <c r="V14" s="31">
        <f>IF('Design Info'!$M$13=3,"X","")</f>
      </c>
      <c r="W14" s="200"/>
      <c r="X14" s="26"/>
      <c r="Y14" s="27"/>
      <c r="AA14" s="139"/>
      <c r="AB14" s="17"/>
      <c r="AC14" s="17"/>
      <c r="AD14" s="37"/>
      <c r="AH14" s="17"/>
      <c r="AI14" s="17"/>
    </row>
    <row r="15" spans="1:35" ht="15">
      <c r="A15" s="97">
        <f t="shared" si="0"/>
      </c>
      <c r="B15" s="98"/>
      <c r="C15" s="97">
        <f>IF('Agg. Info'!C8="","",'Agg. Info'!C8)</f>
      </c>
      <c r="D15" s="98"/>
      <c r="E15" s="117">
        <f>IF('Agg. Info'!D8="","",UPPER('Agg. Info'!D8))</f>
      </c>
      <c r="F15" s="118"/>
      <c r="G15" s="118"/>
      <c r="H15" s="408"/>
      <c r="I15" s="352">
        <f>IF(A15="","",ROUND('Agg. Info'!E8,3))</f>
      </c>
      <c r="J15" s="594">
        <f>IF(Q15="","",IF(Q15="CA",'Agg. Info'!F8/'Agg. Info'!$F$12*100,'Agg. Info'!F8/'Agg. Info'!$F$13*100))</f>
      </c>
      <c r="K15" s="595"/>
      <c r="L15" s="119">
        <f t="shared" si="1"/>
      </c>
      <c r="M15" s="120">
        <f t="shared" si="2"/>
      </c>
      <c r="N15" s="295">
        <f t="shared" si="3"/>
      </c>
      <c r="O15" s="298">
        <f>'Mix Report (English)'!N15</f>
      </c>
      <c r="Q15" s="28">
        <f t="shared" si="4"/>
      </c>
      <c r="R15" s="253">
        <f t="shared" si="5"/>
      </c>
      <c r="S15" s="254">
        <f t="shared" si="6"/>
      </c>
      <c r="T15" s="32">
        <v>91</v>
      </c>
      <c r="U15" s="33" t="s">
        <v>135</v>
      </c>
      <c r="V15" s="31" t="str">
        <f>IF('Design Info'!$M$13=4,"X","")</f>
        <v>X</v>
      </c>
      <c r="W15" s="200"/>
      <c r="X15" s="26"/>
      <c r="Y15" s="27"/>
      <c r="AA15" s="139"/>
      <c r="AB15" s="17"/>
      <c r="AC15" s="17"/>
      <c r="AD15" s="37"/>
      <c r="AH15" s="17"/>
      <c r="AI15" s="17"/>
    </row>
    <row r="16" spans="1:35" ht="15">
      <c r="A16" s="97">
        <f t="shared" si="0"/>
      </c>
      <c r="B16" s="98"/>
      <c r="C16" s="97">
        <f>IF('Agg. Info'!C9="","",'Agg. Info'!C9)</f>
      </c>
      <c r="D16" s="98"/>
      <c r="E16" s="117">
        <f>IF('Agg. Info'!D9="","",UPPER('Agg. Info'!D9))</f>
      </c>
      <c r="F16" s="118"/>
      <c r="G16" s="118"/>
      <c r="H16" s="408"/>
      <c r="I16" s="352">
        <f>IF(A16="","",ROUND('Agg. Info'!E9,3))</f>
      </c>
      <c r="J16" s="594">
        <f>IF(Q16="","",IF(Q16="CA",'Agg. Info'!F9/'Agg. Info'!$F$12*100,'Agg. Info'!F9/'Agg. Info'!$F$13*100))</f>
      </c>
      <c r="K16" s="595"/>
      <c r="L16" s="119">
        <f t="shared" si="1"/>
      </c>
      <c r="M16" s="120">
        <f t="shared" si="2"/>
      </c>
      <c r="N16" s="295">
        <f t="shared" si="3"/>
      </c>
      <c r="O16" s="298">
        <f>'Mix Report (English)'!N16</f>
      </c>
      <c r="Q16" s="28">
        <f t="shared" si="4"/>
      </c>
      <c r="R16" s="253">
        <f t="shared" si="5"/>
      </c>
      <c r="S16" s="254">
        <f t="shared" si="6"/>
      </c>
      <c r="T16" s="32">
        <v>92</v>
      </c>
      <c r="U16" s="33" t="s">
        <v>136</v>
      </c>
      <c r="V16" s="31">
        <f>IF('Design Info'!$M$13=5,"X","")</f>
      </c>
      <c r="W16" s="200"/>
      <c r="X16" s="26"/>
      <c r="Y16" s="27"/>
      <c r="AA16" s="139"/>
      <c r="AB16" s="17"/>
      <c r="AC16" s="17"/>
      <c r="AD16" s="37"/>
      <c r="AH16" s="17"/>
      <c r="AI16" s="17"/>
    </row>
    <row r="17" spans="1:35" ht="15">
      <c r="A17" s="97">
        <f t="shared" si="0"/>
      </c>
      <c r="B17" s="98"/>
      <c r="C17" s="97">
        <f>IF('Agg. Info'!C10="","",'Agg. Info'!C10)</f>
      </c>
      <c r="D17" s="98"/>
      <c r="E17" s="117">
        <f>IF('Agg. Info'!D10="","",UPPER('Agg. Info'!D10))</f>
      </c>
      <c r="F17" s="118"/>
      <c r="G17" s="118"/>
      <c r="H17" s="408"/>
      <c r="I17" s="352">
        <f>IF(A17="","",ROUND('Agg. Info'!E10,3))</f>
      </c>
      <c r="J17" s="594">
        <f>IF(Q17="","",IF(Q17="CA",'Agg. Info'!F10/'Agg. Info'!$F$12*100,'Agg. Info'!F10/'Agg. Info'!$F$13*100))</f>
      </c>
      <c r="K17" s="595"/>
      <c r="L17" s="119">
        <f t="shared" si="1"/>
      </c>
      <c r="M17" s="120">
        <f t="shared" si="2"/>
      </c>
      <c r="N17" s="295">
        <f t="shared" si="3"/>
      </c>
      <c r="O17" s="298">
        <f>'Mix Report (English)'!N17</f>
      </c>
      <c r="Q17" s="28">
        <f t="shared" si="4"/>
      </c>
      <c r="R17" s="253">
        <f t="shared" si="5"/>
      </c>
      <c r="S17" s="254">
        <f t="shared" si="6"/>
      </c>
      <c r="T17" s="32">
        <v>93</v>
      </c>
      <c r="U17" s="33" t="s">
        <v>137</v>
      </c>
      <c r="V17" s="31">
        <f>IF('Design Info'!$M$13=6,"X","")</f>
      </c>
      <c r="W17" s="200"/>
      <c r="X17" s="26"/>
      <c r="Y17" s="27"/>
      <c r="AA17" s="139"/>
      <c r="AB17" s="17"/>
      <c r="AC17" s="17"/>
      <c r="AD17" s="37"/>
      <c r="AH17" s="17"/>
      <c r="AI17" s="17"/>
    </row>
    <row r="18" spans="1:35" ht="15">
      <c r="A18" s="97">
        <f t="shared" si="0"/>
      </c>
      <c r="B18" s="98"/>
      <c r="C18" s="97">
        <f>IF('Agg. Info'!C11="","",'Agg. Info'!C11)</f>
      </c>
      <c r="D18" s="98"/>
      <c r="E18" s="117">
        <f>IF('Agg. Info'!D11="","",UPPER('Agg. Info'!D11))</f>
      </c>
      <c r="F18" s="118"/>
      <c r="G18" s="118"/>
      <c r="H18" s="408"/>
      <c r="I18" s="352">
        <f>IF(A18="","",ROUND('Agg. Info'!E11,3))</f>
      </c>
      <c r="J18" s="594">
        <f>IF(Q18="","",IF(Q18="CA",'Agg. Info'!F11/'Agg. Info'!$F$12*100,'Agg. Info'!F11/'Agg. Info'!$F$13*100))</f>
      </c>
      <c r="K18" s="595"/>
      <c r="L18" s="119">
        <f t="shared" si="1"/>
      </c>
      <c r="M18" s="120">
        <f t="shared" si="2"/>
      </c>
      <c r="N18" s="295">
        <f t="shared" si="3"/>
      </c>
      <c r="O18" s="298">
        <f>'Mix Report (English)'!N18</f>
      </c>
      <c r="Q18" s="28">
        <f t="shared" si="4"/>
      </c>
      <c r="R18" s="253">
        <f t="shared" si="5"/>
      </c>
      <c r="S18" s="254">
        <f t="shared" si="6"/>
      </c>
      <c r="T18" s="32">
        <v>94</v>
      </c>
      <c r="U18" s="33" t="s">
        <v>138</v>
      </c>
      <c r="V18" s="31">
        <f>IF('Design Info'!$M$13=7,"X","")</f>
      </c>
      <c r="W18" s="200"/>
      <c r="X18" s="26"/>
      <c r="Y18" s="27"/>
      <c r="AA18" s="407"/>
      <c r="AB18" s="17"/>
      <c r="AC18" s="17"/>
      <c r="AD18" s="37"/>
      <c r="AH18" s="17"/>
      <c r="AI18" s="17"/>
    </row>
    <row r="19" spans="1:35" ht="15">
      <c r="A19" s="99" t="str">
        <f>R38</f>
        <v>37708M</v>
      </c>
      <c r="B19" s="100"/>
      <c r="C19" s="121" t="str">
        <f>IF('FDM &amp; Admix'!D5="","",'FDM &amp; Admix'!D5)</f>
        <v>555-01</v>
      </c>
      <c r="D19" s="100"/>
      <c r="E19" s="117" t="str">
        <f>IF('FDM &amp; Admix'!E5="","",UPPER('FDM &amp; Admix'!E5))</f>
        <v>BIG CEMENT, CO.</v>
      </c>
      <c r="F19" s="122"/>
      <c r="G19" s="156"/>
      <c r="H19" s="148"/>
      <c r="I19" s="352">
        <f>IF(A19="","",ROUND('FDM &amp; Admix'!G5,3))</f>
        <v>3.15</v>
      </c>
      <c r="J19" s="594">
        <f>IF(A19="","",'FDM &amp; Admix'!H5)</f>
        <v>75</v>
      </c>
      <c r="K19" s="595"/>
      <c r="L19" s="119">
        <f>IF(A19="","",IF('FDM &amp; Admix'!I5="",1,'FDM &amp; Admix'!I5))</f>
        <v>1</v>
      </c>
      <c r="M19" s="141">
        <f>IF(A19="","",ROUNDUP(ROUND(AA19,0)/5,0)*5)</f>
        <v>240</v>
      </c>
      <c r="N19" s="295">
        <f>M19</f>
        <v>240</v>
      </c>
      <c r="O19" s="298">
        <f>'Mix Report (English)'!N19</f>
        <v>405</v>
      </c>
      <c r="Q19" s="34" t="str">
        <f>IF(A19="","",IF(OR(LEFT(A19,3)="376",LEFT(A19,3)="377"),"CMT",IF(LEFT(A19,4)="3782","SLG",IF(OR(LEFT(A19,5)="37801",LEFT(A19,5)="37802"),"ASH",IF(LEFT(A19,4)="3785","MIC",IF(LEFT(A19,5)="37803","HRM",""))))))</f>
        <v>CMT</v>
      </c>
      <c r="R19" s="255">
        <f>IF(I19&gt;0,ROUND(M19/(I19*$Q$29),3),"")</f>
        <v>0.045</v>
      </c>
      <c r="S19" s="255">
        <f>IF(I19&gt;0,ROUND(M19/I19/1000,3),"")</f>
        <v>0.076</v>
      </c>
      <c r="T19" s="32">
        <v>95</v>
      </c>
      <c r="U19" s="33" t="s">
        <v>139</v>
      </c>
      <c r="V19" s="31">
        <f>IF('Design Info'!$M$13=8,"X","")</f>
      </c>
      <c r="W19" s="200"/>
      <c r="X19" s="26"/>
      <c r="Y19" s="27"/>
      <c r="AA19" s="2">
        <f>IF(Units=1,IF($Q$3=1,$G$9*J19*L19,$G$9*(J19/100)*L19),IF($Q$3=1,$G$9*J19*L19,$G$9*(J19/100)*L19))</f>
        <v>240</v>
      </c>
      <c r="AB19" s="17"/>
      <c r="AC19" s="17"/>
      <c r="AD19" s="37"/>
      <c r="AH19" s="17"/>
      <c r="AI19" s="17"/>
    </row>
    <row r="20" spans="1:35" ht="15">
      <c r="A20" s="99" t="str">
        <f>R39</f>
        <v>37801M</v>
      </c>
      <c r="B20" s="100"/>
      <c r="C20" s="121" t="str">
        <f>IF('FDM &amp; Admix'!D6="","",'FDM &amp; Admix'!D6)</f>
        <v>43215-01</v>
      </c>
      <c r="D20" s="100"/>
      <c r="E20" s="117" t="str">
        <f>IF('FDM &amp; Admix'!E6="","",UPPER('FDM &amp; Admix'!E6))</f>
        <v>ASH MARKETERS, INC.</v>
      </c>
      <c r="F20" s="122"/>
      <c r="G20" s="156"/>
      <c r="H20" s="148"/>
      <c r="I20" s="352">
        <f>IF(A20="","",ROUND('FDM &amp; Admix'!G6,3))</f>
        <v>2.61</v>
      </c>
      <c r="J20" s="594">
        <f>IF(A20="","",'FDM &amp; Admix'!H6)</f>
        <v>25</v>
      </c>
      <c r="K20" s="595"/>
      <c r="L20" s="119">
        <f>IF(A20="","",IF('FDM &amp; Admix'!I6="",1,'FDM &amp; Admix'!I6))</f>
        <v>1</v>
      </c>
      <c r="M20" s="141">
        <f>IF(A20="","",ROUNDUP(ROUND(AA20,0)/5,0)*5)</f>
        <v>80</v>
      </c>
      <c r="N20" s="295">
        <f>M20</f>
        <v>80</v>
      </c>
      <c r="O20" s="298">
        <f>'Mix Report (English)'!N20</f>
        <v>135</v>
      </c>
      <c r="Q20" s="34" t="str">
        <f>IF(A20="","",IF(OR(LEFT(A20,3)="376",LEFT(A20,3)="377"),"CMT",IF(LEFT(A20,4)="3782","SLG",IF(OR(LEFT(A20,5)="37801",LEFT(A20,5)="37802"),"ASH",IF(LEFT(A20,4)="3785","MIC",IF(LEFT(A20,5)="37803","HRM",""))))))</f>
        <v>ASH</v>
      </c>
      <c r="R20" s="255">
        <f>IF(I20&gt;0,ROUND(M20/(I20*$Q$29),3),"")</f>
        <v>0.018</v>
      </c>
      <c r="S20" s="255">
        <f>IF(I20&gt;0,ROUND(M20/I20/1000,3),"")</f>
        <v>0.031</v>
      </c>
      <c r="T20" s="32">
        <v>96</v>
      </c>
      <c r="U20" s="33" t="s">
        <v>140</v>
      </c>
      <c r="V20" s="31">
        <f>IF('Design Info'!$M$13=9,"X","")</f>
      </c>
      <c r="W20" s="200"/>
      <c r="X20" s="26"/>
      <c r="Y20" s="27"/>
      <c r="AA20" s="2">
        <f>IF(Units=1,IF($Q$3=1,$G$9*J20*L20,$G$9*(J20/100)*L20),IF($Q$3=1,$G$9*J20*L20,$G$9*(J20/100)*L20))</f>
        <v>80</v>
      </c>
      <c r="AB20" s="17"/>
      <c r="AC20" s="17"/>
      <c r="AD20" s="37"/>
      <c r="AH20" s="203"/>
      <c r="AI20" s="17"/>
    </row>
    <row r="21" spans="1:35" ht="15">
      <c r="A21" s="99">
        <f>R40</f>
      </c>
      <c r="B21" s="100"/>
      <c r="C21" s="121">
        <f>IF('FDM &amp; Admix'!D7="","",'FDM &amp; Admix'!D7)</f>
      </c>
      <c r="D21" s="100"/>
      <c r="E21" s="117">
        <f>IF('FDM &amp; Admix'!E7="","",UPPER('FDM &amp; Admix'!E7))</f>
      </c>
      <c r="F21" s="122"/>
      <c r="G21" s="156"/>
      <c r="H21" s="148"/>
      <c r="I21" s="352">
        <f>IF(A21="","",ROUND('FDM &amp; Admix'!G7,3))</f>
      </c>
      <c r="J21" s="594">
        <f>IF(A21="","",'FDM &amp; Admix'!H7)</f>
      </c>
      <c r="K21" s="595"/>
      <c r="L21" s="119">
        <f>IF(A21="","",IF('FDM &amp; Admix'!I7="",1,'FDM &amp; Admix'!I7))</f>
      </c>
      <c r="M21" s="141">
        <f>IF(A21="","",ROUNDUP(ROUND(AA21,0)/5,0)*5)</f>
      </c>
      <c r="N21" s="295">
        <f>M21</f>
      </c>
      <c r="O21" s="298">
        <f>'Mix Report (English)'!N21</f>
      </c>
      <c r="Q21" s="34">
        <f>IF(A21="","",IF(OR(LEFT(A21,3)="376",LEFT(A21,3)="377"),"CMT",IF(LEFT(A21,4)="3782","SLG",IF(OR(LEFT(A21,5)="37801",LEFT(A21,5)="37802"),"ASH",IF(LEFT(A21,4)="3785","MIC",IF(LEFT(A21,5)="37803","HRM",""))))))</f>
      </c>
      <c r="R21" s="255">
        <f>IF(I21&gt;0,ROUND(M21/(I21*$Q$29),3),"")</f>
      </c>
      <c r="S21" s="255">
        <f>IF(I21&gt;0,ROUND(M21/I21/1000,3),"")</f>
      </c>
      <c r="T21" s="32">
        <v>97</v>
      </c>
      <c r="U21" s="33" t="s">
        <v>141</v>
      </c>
      <c r="V21" s="31">
        <f>IF('Design Info'!$M$13=10,"X","")</f>
      </c>
      <c r="W21" s="200"/>
      <c r="AA21" s="2">
        <f>IF(Units=1,IF($Q$3=1,$G$9*J21*L21,$G$9*(J21/100)*L21),IF($Q$3=1,$G$9*J21*L21,$G$9*(J21/100)*L21))</f>
        <v>0</v>
      </c>
      <c r="AB21" s="17"/>
      <c r="AC21" s="17"/>
      <c r="AD21" s="37"/>
      <c r="AH21" s="203"/>
      <c r="AI21" s="17"/>
    </row>
    <row r="22" spans="1:35" ht="15">
      <c r="A22" s="99">
        <f>R41</f>
      </c>
      <c r="B22" s="100"/>
      <c r="C22" s="121">
        <f>IF('FDM &amp; Admix'!D8="","",'FDM &amp; Admix'!D8)</f>
      </c>
      <c r="D22" s="100"/>
      <c r="E22" s="117">
        <f>IF('FDM &amp; Admix'!E8="","",UPPER('FDM &amp; Admix'!E8))</f>
      </c>
      <c r="F22" s="122"/>
      <c r="G22" s="156"/>
      <c r="H22" s="81"/>
      <c r="I22" s="352">
        <f>IF(A22="","",ROUND('FDM &amp; Admix'!G8,3))</f>
      </c>
      <c r="J22" s="594">
        <f>IF(A22="","",'FDM &amp; Admix'!H8)</f>
      </c>
      <c r="K22" s="595"/>
      <c r="L22" s="119">
        <f>IF(A22="","",IF('FDM &amp; Admix'!I8="",1,'FDM &amp; Admix'!I8))</f>
      </c>
      <c r="M22" s="141">
        <f>IF(A22="","",AA22)</f>
      </c>
      <c r="N22" s="295">
        <f>M22</f>
      </c>
      <c r="O22" s="298">
        <f>'Mix Report (English)'!N22</f>
      </c>
      <c r="Q22" s="34">
        <f>IF(A22="","",IF(OR(LEFT(A22,3)="376",LEFT(A22,3)="377"),"CMT",IF(LEFT(A22,4)="3782","SLG",IF(OR(LEFT(A22,5)="37801",LEFT(A22,5)="37802"),"ASH",IF(LEFT(A22,4)="3785","MIC",IF(LEFT(A22,5)="37803","HRM",""))))))</f>
      </c>
      <c r="R22" s="255">
        <f>IF(I22&gt;0,ROUND(M22/(I22*$Q$29),3),"")</f>
      </c>
      <c r="S22" s="255">
        <f>IF(I22&gt;0,ROUND(M22/I22/1000,3),"")</f>
      </c>
      <c r="T22" s="32">
        <v>98</v>
      </c>
      <c r="U22" s="33" t="s">
        <v>142</v>
      </c>
      <c r="V22" s="31">
        <f>IF('Design Info'!$M$13=11,"X","")</f>
      </c>
      <c r="AA22" s="2">
        <f>IF(Units=1,IF($Q$3=1,$G$9*J22*L22,$G$9*(J22/100)*L22),IF($Q$3=1,$G$9*J22*L22,$G$9*(J22/100)*L22))</f>
        <v>0</v>
      </c>
      <c r="AB22" s="17"/>
      <c r="AC22" s="17"/>
      <c r="AD22" s="37"/>
      <c r="AH22" s="203"/>
      <c r="AI22" s="17"/>
    </row>
    <row r="23" spans="1:35" ht="15.75" customHeight="1">
      <c r="A23" s="21" t="s">
        <v>107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101" t="str">
        <f>IF(Units=1,IF(Q3=1,"ADJ. H2O (gal : lbs)","ADJ. H2O (L : kg)"),IF(Q3=1,"ADJ. H2O (gal : lbs)","ADJ. H2O (L : kg)"))</f>
        <v>ADJ. H2O (L : kg)</v>
      </c>
      <c r="M23" s="199">
        <f>IF(Units=1,IF(Q3=1,N23/8.33,N23),IF(Q3=1,N23/8.33,N23))</f>
        <v>134.4</v>
      </c>
      <c r="N23" s="296">
        <f>IF(Units=1,IF(Q3=1,N26-(SUM(N13:N22)-SUM(M13:M22)),M26-(SUM(N13:N22)-SUM(M13:M22))),IF(Q3=1,N26-(SUM(N13:N22)-SUM(M13:M22)),M26-(SUM(N13:N22)-SUM(M13:M22))))</f>
        <v>134.4</v>
      </c>
      <c r="O23" s="298">
        <f>IF($Q$3=1,N23/1.685,N23*1.685)</f>
        <v>226.46400000000003</v>
      </c>
      <c r="Q23" s="35" t="s">
        <v>17</v>
      </c>
      <c r="R23" s="255">
        <f>ROUND(E9/100,3)</f>
        <v>0.065</v>
      </c>
      <c r="S23" s="255">
        <f>ROUND(E9/100,3)</f>
        <v>0.065</v>
      </c>
      <c r="T23" s="32">
        <v>99</v>
      </c>
      <c r="U23" s="33" t="s">
        <v>143</v>
      </c>
      <c r="V23" s="31">
        <f>IF('Design Info'!$M$13=12,"X","")</f>
      </c>
      <c r="W23" s="273"/>
      <c r="AA23" s="17"/>
      <c r="AB23" s="17"/>
      <c r="AC23" s="17"/>
      <c r="AD23" s="37"/>
      <c r="AH23" s="203"/>
      <c r="AI23" s="17"/>
    </row>
    <row r="24" spans="1:35" ht="15">
      <c r="A24" s="21"/>
      <c r="B24" s="101"/>
      <c r="D24" s="105" t="s">
        <v>36</v>
      </c>
      <c r="E24" s="353">
        <f>ROUND(L9+K9,4)</f>
        <v>0.442</v>
      </c>
      <c r="F24" s="354"/>
      <c r="G24" s="89" t="s">
        <v>60</v>
      </c>
      <c r="H24" s="145">
        <f>IF(Variables!J3=1,IF(E26="","",IF(Units=1,IF($Q$3=1,ROUND(AA28/(E26*100),3),ROUND((AA28*0.5935)/E26,3)),IF($Q$3=1,ROUND(AA28/(E26*100),3),ROUND((AA28*0.5935)/E26,3)))),Variables!$C$11)</f>
        <v>0.42</v>
      </c>
      <c r="I24" s="92"/>
      <c r="J24" s="92"/>
      <c r="K24" s="21"/>
      <c r="L24" s="101" t="str">
        <f>IF(Units=1,IF(Q3=1,"TOTAL BATCH WT (lbs)","TOTAL BATCH WT (kg)"),IF(Q3=1,"TOTAL BATCH WT (lbs)","TOTAL BATCH WT (kg)"))</f>
        <v>TOTAL BATCH WT (kg)</v>
      </c>
      <c r="N24" s="297">
        <f>SUM(N13:N23)</f>
        <v>2307.8480000000004</v>
      </c>
      <c r="O24" s="233">
        <f>SUM(O13:O23)</f>
        <v>3883.1724841200003</v>
      </c>
      <c r="Q24" s="35" t="s">
        <v>18</v>
      </c>
      <c r="R24" s="255">
        <f>ROUND(N26/$Q$29,3)</f>
        <v>0.134</v>
      </c>
      <c r="S24" s="255">
        <f>ROUND(M26/1000,3)</f>
        <v>0.134</v>
      </c>
      <c r="T24" s="41" t="str">
        <f>IF(Units=1,IF(Q3=1,21601,"21601M"),IF(Q3=1,21601,"21601M"))</f>
        <v>21601M</v>
      </c>
      <c r="U24" s="40" t="s">
        <v>57</v>
      </c>
      <c r="V24" s="265">
        <f>IF('Design Info'!$R$13=2,"X","")</f>
      </c>
      <c r="W24" s="17"/>
      <c r="AA24" s="17"/>
      <c r="AB24" s="17"/>
      <c r="AC24" s="17"/>
      <c r="AD24" s="274"/>
      <c r="AE24" s="17"/>
      <c r="AH24" s="17"/>
      <c r="AI24" s="17"/>
    </row>
    <row r="25" spans="1:33" ht="15">
      <c r="A25" s="21"/>
      <c r="B25" s="84"/>
      <c r="C25" s="84"/>
      <c r="D25" s="465" t="s">
        <v>241</v>
      </c>
      <c r="E25" s="466">
        <f>ROUND((1-C9/100)*E24,4)</f>
        <v>0.42</v>
      </c>
      <c r="G25" s="21"/>
      <c r="H25" s="21"/>
      <c r="I25" s="123"/>
      <c r="J25" s="123"/>
      <c r="K25" s="123"/>
      <c r="L25" s="123"/>
      <c r="M25" s="21"/>
      <c r="N25" s="21"/>
      <c r="Q25" s="36"/>
      <c r="R25" s="251"/>
      <c r="S25" s="251"/>
      <c r="T25" s="42" t="str">
        <f>IF(Units=1,IF(Q3=1,21605,"21605M"),IF(Q3=1,21605,"21605M"))</f>
        <v>21605M</v>
      </c>
      <c r="U25" s="39" t="s">
        <v>263</v>
      </c>
      <c r="V25" s="43" t="str">
        <f>IF('Design Info'!$R$13=3,"X","")</f>
        <v>X</v>
      </c>
      <c r="W25" s="17"/>
      <c r="AC25" s="17"/>
      <c r="AD25" s="17"/>
      <c r="AE25" s="17"/>
      <c r="AF25" s="17"/>
      <c r="AG25" s="17"/>
    </row>
    <row r="26" spans="1:33" ht="15">
      <c r="A26" s="21"/>
      <c r="B26" s="89"/>
      <c r="D26" s="124" t="s">
        <v>148</v>
      </c>
      <c r="E26" s="298">
        <f>IF(Units=1,IF(Q3=1,SUM(M19:M22)/100,SUM(M19:M22)),IF(Q3=1,SUM(M19:M22)/100,SUM(M19:M22)))</f>
        <v>320</v>
      </c>
      <c r="G26" s="456">
        <f>IF('Design Info'!R12="21606","LATEX:","")</f>
      </c>
      <c r="H26" s="464">
        <f>IF('Design Info'!R12="21606",IF('FDM &amp; Admix'!I18="","",IF(Units=1,IF(Q3=1,'FDM &amp; Admix'!I18,'FDM &amp; Admix'!I18*4.951),IF(Q3=1,'FDM &amp; Admix'!I18/4.951,'FDM &amp; Admix'!I18))),"")</f>
      </c>
      <c r="I26" s="21">
        <f>IF('Design Info'!R12="21606",IF(Units=1,IF(Q3=1,"GAL","L"),IF(Q3=1,"GAL","L")),"")</f>
      </c>
      <c r="J26" s="92"/>
      <c r="K26" s="21"/>
      <c r="L26" s="101" t="str">
        <f>IF(Units=1,IF(Q3=1,"THEO. H2O (gal : lbs)","THEO. H2O (kg : lbs)"),IF(Q3=1,"THEO. H2O (gal : lbs)","THEO. H2O (kg : lbs)"))</f>
        <v>THEO. H2O (kg : lbs)</v>
      </c>
      <c r="M26" s="202">
        <f>IF('Design Info'!R12="21606",IF(Q3=1,N26/8.33,N26/1.685),AA27)</f>
        <v>134.4</v>
      </c>
      <c r="N26" s="233">
        <f>IF('Design Info'!R12="21606",((AA28/$Q$29)-Y27)*$Q$29,AA28)</f>
        <v>226</v>
      </c>
      <c r="O26" s="133"/>
      <c r="Q26" s="21" t="s">
        <v>43</v>
      </c>
      <c r="R26" s="255">
        <f>SUM(R13:R24)</f>
        <v>0.514</v>
      </c>
      <c r="S26" s="255">
        <f>SUM(S13:S24)</f>
        <v>0.7300000000000001</v>
      </c>
      <c r="T26" s="42" t="str">
        <f>IF(Units=1,IF(Q3=1,21606,"21606M"),IF(Q3=1,21606,"21606M"))</f>
        <v>21606M</v>
      </c>
      <c r="U26" s="39" t="s">
        <v>56</v>
      </c>
      <c r="V26" s="43">
        <f>IF('Design Info'!$R$13=4,"X","")</f>
      </c>
      <c r="W26" s="17"/>
      <c r="X26" s="3" t="s">
        <v>357</v>
      </c>
      <c r="AA26" s="458" t="s">
        <v>361</v>
      </c>
      <c r="AB26" s="17"/>
      <c r="AC26" s="17"/>
      <c r="AD26" s="17"/>
      <c r="AE26" s="17"/>
      <c r="AF26" s="37"/>
      <c r="AG26" s="17"/>
    </row>
    <row r="27" spans="12:33" ht="16.5" customHeight="1">
      <c r="L27" s="220"/>
      <c r="M27" s="221"/>
      <c r="N27" s="222"/>
      <c r="Q27" s="21"/>
      <c r="T27" s="42" t="str">
        <f>IF(Units=1,IF(Q3=1,21609,"21609M"),IF(Q3=1,21609,"21609M"))</f>
        <v>21609M</v>
      </c>
      <c r="U27" s="39" t="s">
        <v>264</v>
      </c>
      <c r="V27" s="43">
        <f>IF('Design Info'!$R$13=5,"X","")</f>
      </c>
      <c r="W27" s="17"/>
      <c r="X27" s="3" t="s">
        <v>358</v>
      </c>
      <c r="Y27" s="454">
        <f>Y29-Y28</f>
        <v>0</v>
      </c>
      <c r="AA27" s="457">
        <f>IF(Units=1,IF(Q3=1,IF(Variables!J3=1,E26*E25,((E26*100)*H24)/8.33),IF(Variables!J3=1,E26*E25,E26*H24)),IF(Q3=1,IF(Variables!J3=1,E26*E25,((E26*100)*H24)/8.33),IF(Variables!J3=1,E26*E25,E26*H24)))</f>
        <v>134.4</v>
      </c>
      <c r="AB27" s="17" t="str">
        <f>IF(Units=1,IF(Q3=1,"gal","kg"),IF(Q3=1,"gal","kg"))</f>
        <v>kg</v>
      </c>
      <c r="AC27" s="17"/>
      <c r="AD27" s="17"/>
      <c r="AE27" s="17"/>
      <c r="AF27" s="51"/>
      <c r="AG27" s="17"/>
    </row>
    <row r="28" spans="1:33" ht="15">
      <c r="A28" s="21"/>
      <c r="B28" s="130" t="s">
        <v>65</v>
      </c>
      <c r="C28" s="596" t="str">
        <f>IF('Design Info'!D19="","",'Design Info'!D19)</f>
        <v>1234-05</v>
      </c>
      <c r="D28" s="596"/>
      <c r="F28" s="124" t="s">
        <v>69</v>
      </c>
      <c r="G28" s="604" t="str">
        <f>IF('Design Info'!D20="","",UPPER('Design Info'!D20))</f>
        <v>EVERYMAN REDI-MIX CO.</v>
      </c>
      <c r="H28" s="604"/>
      <c r="I28" s="604"/>
      <c r="J28" s="154"/>
      <c r="K28" s="21"/>
      <c r="L28" s="124"/>
      <c r="Q28" s="144" t="s">
        <v>100</v>
      </c>
      <c r="T28" s="42" t="str">
        <f>IF(Units=1,IF(Q3=1,21611,"21611M"),IF(Q3=1,21611,"21611M"))</f>
        <v>21611M</v>
      </c>
      <c r="U28" s="39" t="s">
        <v>265</v>
      </c>
      <c r="V28" s="43">
        <f>IF('Design Info'!$R$13=6,"X","")</f>
      </c>
      <c r="W28" s="17"/>
      <c r="X28" s="3" t="s">
        <v>359</v>
      </c>
      <c r="Y28" s="454">
        <f>('FDM &amp; Admix'!I20/100)*Y29</f>
        <v>0</v>
      </c>
      <c r="AA28" s="459">
        <f>IF(Units=1,IF(Q3=1,ROUND(AA27*8.33,0),ROUND(AA27*1.685,0)),IF(Q3=1,ROUND(AA27*8.33,0),ROUND(AA27*1.685,0)))</f>
        <v>226</v>
      </c>
      <c r="AB28" s="17" t="s">
        <v>352</v>
      </c>
      <c r="AC28" s="17"/>
      <c r="AD28" s="17"/>
      <c r="AE28" s="17"/>
      <c r="AF28" s="51"/>
      <c r="AG28" s="17"/>
    </row>
    <row r="29" spans="1:33" ht="15">
      <c r="A29" s="21"/>
      <c r="B29" s="89" t="s">
        <v>144</v>
      </c>
      <c r="C29" s="603" t="str">
        <f>IF('FDM &amp; Admix'!B19="","",'FDM &amp; Admix'!B19)</f>
        <v>ASR Mix Option 2, 25% fly ash</v>
      </c>
      <c r="D29" s="603"/>
      <c r="E29" s="603"/>
      <c r="F29" s="603"/>
      <c r="G29" s="603"/>
      <c r="H29" s="603"/>
      <c r="I29" s="603"/>
      <c r="J29" s="603"/>
      <c r="K29" s="603"/>
      <c r="L29" s="124"/>
      <c r="M29" s="142"/>
      <c r="Q29" s="145">
        <v>1683.99</v>
      </c>
      <c r="R29" s="3" t="s">
        <v>101</v>
      </c>
      <c r="T29" s="42" t="str">
        <f>IF(Units=1,IF(Q3=1,21613,"21613M"),IF(Q3=1,21611,"21613M"))</f>
        <v>21613M</v>
      </c>
      <c r="U29" s="39" t="s">
        <v>266</v>
      </c>
      <c r="V29" s="43">
        <f>IF('Design Info'!$R$13=7,"X","")</f>
      </c>
      <c r="W29" s="17"/>
      <c r="X29" s="3" t="s">
        <v>360</v>
      </c>
      <c r="Y29" s="454">
        <f>IF('Design Info'!R12="21606",IF('FDM &amp; Admix'!I18="","",IF(Units=1,('FDM &amp; Admix'!I19*8.33*'FDM &amp; Admix'!I18)/$Q$29,'FDM &amp; Admix'!I18/1000)),"")</f>
      </c>
      <c r="AA29" s="17"/>
      <c r="AB29" s="17"/>
      <c r="AC29" s="17"/>
      <c r="AD29" s="17"/>
      <c r="AE29" s="17"/>
      <c r="AF29" s="51"/>
      <c r="AG29" s="17"/>
    </row>
    <row r="30" spans="1:33" ht="15.75" thickBot="1">
      <c r="A30" s="21"/>
      <c r="B30" s="89" t="s">
        <v>144</v>
      </c>
      <c r="C30" s="602">
        <f>IF('FDM &amp; Admix'!B20="","",'FDM &amp; Admix'!B20)</f>
      </c>
      <c r="D30" s="602"/>
      <c r="E30" s="602"/>
      <c r="F30" s="602"/>
      <c r="G30" s="602"/>
      <c r="H30" s="602"/>
      <c r="I30" s="602"/>
      <c r="J30" s="602"/>
      <c r="K30" s="602"/>
      <c r="L30" s="105"/>
      <c r="M30" s="177"/>
      <c r="N30" s="126"/>
      <c r="T30" s="42" t="str">
        <f>IF(Units=1,IF(Q3=1,21614,"21614M"),IF(Q3=1,21614,"21614M"))</f>
        <v>21614M</v>
      </c>
      <c r="U30" s="39" t="s">
        <v>267</v>
      </c>
      <c r="V30" s="43">
        <f>IF('Design Info'!$R$13=8,"X","")</f>
      </c>
      <c r="W30" s="17"/>
      <c r="AA30" s="17"/>
      <c r="AC30" s="17"/>
      <c r="AD30" s="17"/>
      <c r="AE30" s="17"/>
      <c r="AF30" s="51"/>
      <c r="AG30" s="17"/>
    </row>
    <row r="31" spans="1:31" ht="15.75" thickTop="1">
      <c r="A31" s="172" t="s">
        <v>151</v>
      </c>
      <c r="B31" s="173"/>
      <c r="C31" s="173"/>
      <c r="D31" s="174"/>
      <c r="E31" s="175" t="s">
        <v>152</v>
      </c>
      <c r="F31" s="239" t="str">
        <f>IF('Design Info'!D14="","",UPPER('Design Info'!D14))</f>
        <v>PAVE MASTERS CO.</v>
      </c>
      <c r="G31" s="240"/>
      <c r="H31" s="175" t="s">
        <v>177</v>
      </c>
      <c r="I31" s="239" t="str">
        <f>IF('Design Info'!D15="","",UPPER('Design Info'!D15))</f>
        <v>CHICAGO</v>
      </c>
      <c r="J31" s="239"/>
      <c r="K31" s="175"/>
      <c r="L31" s="175"/>
      <c r="M31" s="176"/>
      <c r="N31" s="173"/>
      <c r="Q31" s="3" t="s">
        <v>76</v>
      </c>
      <c r="T31" s="42" t="str">
        <f>IF(Units=1,IF(Q3=1,21620,"21620M"),IF(Q3=1,21620,"21620M"))</f>
        <v>21620M</v>
      </c>
      <c r="U31" s="39" t="s">
        <v>268</v>
      </c>
      <c r="V31" s="43">
        <f>IF('Design Info'!$R$13=9,"X","")</f>
      </c>
      <c r="W31" s="17"/>
      <c r="X31" s="3" t="s">
        <v>349</v>
      </c>
      <c r="Y31" s="3" t="s">
        <v>348</v>
      </c>
      <c r="Z31" s="3" t="s">
        <v>347</v>
      </c>
      <c r="AA31" s="17"/>
      <c r="AB31" s="17" t="s">
        <v>346</v>
      </c>
      <c r="AC31" s="17"/>
      <c r="AD31" s="51"/>
      <c r="AE31" s="17"/>
    </row>
    <row r="32" spans="1:34" ht="15">
      <c r="A32" s="21"/>
      <c r="B32" s="166" t="s">
        <v>6</v>
      </c>
      <c r="E32" s="124" t="s">
        <v>192</v>
      </c>
      <c r="F32" s="260" t="str">
        <f>IF('Design Info'!D16="","",UPPER('Design Info'!D16))</f>
        <v>JOHN SMITH</v>
      </c>
      <c r="G32" s="131"/>
      <c r="H32" s="124" t="s">
        <v>229</v>
      </c>
      <c r="I32" s="356" t="str">
        <f>IF('Design Info'!AC14="","",'Design Info'!AC14)</f>
        <v>01/09/23</v>
      </c>
      <c r="J32" s="21"/>
      <c r="L32" s="125"/>
      <c r="M32" s="329"/>
      <c r="N32" s="329"/>
      <c r="Q32" s="167" t="str">
        <f>'Agg. Info'!B6</f>
        <v>027fa01</v>
      </c>
      <c r="R32" s="50" t="str">
        <f aca="true" t="shared" si="7" ref="R32:R37">IF(AA32="","",AA32&amp;IF($Q$3=1,IF(Y32="1","01",""),IF(Y32="1","1",""))&amp;Z32)</f>
        <v>027faM01</v>
      </c>
      <c r="T32" s="42" t="str">
        <f>IF(Units=1,IF(Q3=1,21621,"21621M"),IF(Q3=1,21621,"21621M"))</f>
        <v>21621M</v>
      </c>
      <c r="U32" s="39" t="s">
        <v>269</v>
      </c>
      <c r="V32" s="43">
        <f>IF('Design Info'!$R$13=10,"X","")</f>
      </c>
      <c r="W32" s="454" t="str">
        <f aca="true" t="shared" si="8" ref="W32:W37">IF(AA32="","",AA32&amp;IF($Q$3=1,IF(Y32="1","01",""),IF(Y32="1","1",""))&amp;Z32)</f>
        <v>027faM01</v>
      </c>
      <c r="X32" s="454" t="str">
        <f aca="true" t="shared" si="9" ref="X32:X37">IF(AA32="","",AA32&amp;IF($Q$3=1,IF(Y32="1","01",""),IF(Y32="1","1","")))</f>
        <v>027faM01</v>
      </c>
      <c r="Y32" s="454">
        <f aca="true" t="shared" si="10" ref="Y32:Y37">IF(AA32="","",IF(AF32="1","1",""))</f>
      </c>
      <c r="Z32" s="454">
        <f aca="true" t="shared" si="11" ref="Z32:Z37">IF(OR(AE32="F",AF32="F",AG32="F"),"FT","")</f>
      </c>
      <c r="AA32" s="452" t="str">
        <f aca="true" t="shared" si="12" ref="AA32:AA37">IF(Q32="","",IF($Q$3=1,AB32&amp;IF(AC32="M",AD32&amp;AE32,AC32&amp;AD32),AB32&amp;IF(AC32="M",AC32&amp;AD32&amp;AE32,"M"&amp;AC32&amp;AD32)))</f>
        <v>027faM01</v>
      </c>
      <c r="AB32" s="453" t="str">
        <f aca="true" t="shared" si="13" ref="AB32:AB37">IF(Q32="","",LEFT(Q32,5))</f>
        <v>027fa</v>
      </c>
      <c r="AC32" s="453" t="str">
        <f aca="true" t="shared" si="14" ref="AC32:AC37">IF(Q32="","",MID(Q32,6,1))</f>
        <v>0</v>
      </c>
      <c r="AD32" s="453" t="str">
        <f aca="true" t="shared" si="15" ref="AD32:AD37">IF(Q32="","",MID(Q32,7,1))</f>
        <v>1</v>
      </c>
      <c r="AE32" s="453">
        <f aca="true" t="shared" si="16" ref="AE32:AE37">IF(Q32="","",IF(MID(Q32,8,1)="","",MID(Q32,8,1)))</f>
      </c>
      <c r="AF32" s="453">
        <f aca="true" t="shared" si="17" ref="AF32:AF37">IF(Q32="","",IF(MID(Q32,9,1)="","",MID(Q32,9,1)))</f>
      </c>
      <c r="AG32" s="453">
        <f aca="true" t="shared" si="18" ref="AG32:AG37">IF(Q32="","",IF(MID(Q32,10,1)="","",MID(Q32,10,1)))</f>
      </c>
      <c r="AH32" s="453">
        <f aca="true" t="shared" si="19" ref="AH32:AH37">IF(Q32="","",IF(MID(Q32,11,1)="","",MID(Q32,11,1)))</f>
      </c>
    </row>
    <row r="33" spans="1:34" ht="15">
      <c r="A33" s="26" t="s">
        <v>55</v>
      </c>
      <c r="B33" s="268" t="s">
        <v>59</v>
      </c>
      <c r="C33" s="165" t="s">
        <v>5</v>
      </c>
      <c r="D33" s="197" t="s">
        <v>513</v>
      </c>
      <c r="E33" s="189"/>
      <c r="F33" s="186"/>
      <c r="G33" s="197" t="s">
        <v>54</v>
      </c>
      <c r="I33" s="189"/>
      <c r="J33" s="21"/>
      <c r="K33" s="124"/>
      <c r="L33" s="125"/>
      <c r="M33" s="329"/>
      <c r="N33" s="329"/>
      <c r="Q33" s="167" t="str">
        <f>'Agg. Info'!B7</f>
        <v>022ca07</v>
      </c>
      <c r="R33" s="50" t="str">
        <f t="shared" si="7"/>
        <v>022caM07</v>
      </c>
      <c r="T33" s="42" t="str">
        <f>IF(Units=1,IF(Q3=1,21622,"21622M"),IF(Q3=1,21622,"21622M"))</f>
        <v>21622M</v>
      </c>
      <c r="U33" s="39" t="s">
        <v>270</v>
      </c>
      <c r="V33" s="43">
        <f>IF('Design Info'!$R$13=11,"X","")</f>
      </c>
      <c r="W33" s="454" t="str">
        <f t="shared" si="8"/>
        <v>022caM07</v>
      </c>
      <c r="X33" s="454" t="str">
        <f t="shared" si="9"/>
        <v>022caM07</v>
      </c>
      <c r="Y33" s="454">
        <f t="shared" si="10"/>
      </c>
      <c r="Z33" s="454">
        <f t="shared" si="11"/>
      </c>
      <c r="AA33" s="452" t="str">
        <f t="shared" si="12"/>
        <v>022caM07</v>
      </c>
      <c r="AB33" s="453" t="str">
        <f t="shared" si="13"/>
        <v>022ca</v>
      </c>
      <c r="AC33" s="453" t="str">
        <f t="shared" si="14"/>
        <v>0</v>
      </c>
      <c r="AD33" s="453" t="str">
        <f t="shared" si="15"/>
        <v>7</v>
      </c>
      <c r="AE33" s="453">
        <f t="shared" si="16"/>
      </c>
      <c r="AF33" s="453">
        <f t="shared" si="17"/>
      </c>
      <c r="AG33" s="453">
        <f t="shared" si="18"/>
      </c>
      <c r="AH33" s="453">
        <f t="shared" si="19"/>
      </c>
    </row>
    <row r="34" spans="2:34" ht="15">
      <c r="B34" s="269">
        <f>IF('FDM &amp; Admix'!B13="","",'FDM &amp; Admix'!B13)</f>
        <v>42000</v>
      </c>
      <c r="C34" s="164" t="str">
        <f>'FDM &amp; Admix'!Q18</f>
        <v>AEA</v>
      </c>
      <c r="D34" s="252" t="str">
        <f>IF('FDM &amp; Admix'!E13="","",UPPER('FDM &amp; Admix'!E13))</f>
        <v>AIR PLUS X</v>
      </c>
      <c r="E34" s="198"/>
      <c r="F34" s="187"/>
      <c r="G34" s="252">
        <f>IF('FDM &amp; Admix'!G13="","",'FDM &amp; Admix'!G13)</f>
      </c>
      <c r="I34" s="86"/>
      <c r="J34" s="21"/>
      <c r="K34" s="124"/>
      <c r="L34" s="366" t="s">
        <v>259</v>
      </c>
      <c r="M34" s="37" t="str">
        <f>IF('Design Info'!D17="","",'Design Info'!D17)</f>
        <v>555-555-5555</v>
      </c>
      <c r="Q34" s="167">
        <f>'Agg. Info'!B8</f>
        <v>0</v>
      </c>
      <c r="R34" s="50">
        <f t="shared" si="7"/>
      </c>
      <c r="S34" s="323"/>
      <c r="T34" s="42" t="str">
        <f>IF(Units=1,IF(Q3=1,21627,"21627M"),IF(Q3=1,21627,"21627M"))</f>
        <v>21627M</v>
      </c>
      <c r="U34" s="39" t="s">
        <v>271</v>
      </c>
      <c r="V34" s="43">
        <f>IF('Design Info'!$R$13=12,"X","")</f>
      </c>
      <c r="W34" s="454">
        <f t="shared" si="8"/>
      </c>
      <c r="X34" s="454">
        <f t="shared" si="9"/>
      </c>
      <c r="Y34" s="454">
        <f t="shared" si="10"/>
      </c>
      <c r="Z34" s="454">
        <f t="shared" si="11"/>
      </c>
      <c r="AA34" s="452">
        <f t="shared" si="12"/>
      </c>
      <c r="AB34" s="453">
        <f t="shared" si="13"/>
      </c>
      <c r="AC34" s="453">
        <f t="shared" si="14"/>
      </c>
      <c r="AD34" s="453">
        <f t="shared" si="15"/>
      </c>
      <c r="AE34" s="453">
        <f t="shared" si="16"/>
      </c>
      <c r="AF34" s="453">
        <f t="shared" si="17"/>
      </c>
      <c r="AG34" s="453">
        <f t="shared" si="18"/>
      </c>
      <c r="AH34" s="453">
        <f t="shared" si="19"/>
      </c>
    </row>
    <row r="35" spans="1:34" ht="15">
      <c r="A35" s="21"/>
      <c r="B35" s="269">
        <f>IF('FDM &amp; Admix'!B14="","",'FDM &amp; Admix'!B14)</f>
        <v>43000</v>
      </c>
      <c r="C35" s="164" t="str">
        <f>'FDM &amp; Admix'!Q19</f>
        <v>A</v>
      </c>
      <c r="D35" s="252" t="str">
        <f>IF('FDM &amp; Admix'!E14="","",UPPER('FDM &amp; Admix'!E14))</f>
        <v>WATER REDUCTO 2000</v>
      </c>
      <c r="E35" s="198"/>
      <c r="F35" s="187"/>
      <c r="G35" s="252">
        <f>IF('FDM &amp; Admix'!G14="","",'FDM &amp; Admix'!G14)</f>
      </c>
      <c r="I35" s="86"/>
      <c r="J35" s="21"/>
      <c r="K35" s="170"/>
      <c r="L35" s="366" t="s">
        <v>260</v>
      </c>
      <c r="M35" s="37" t="str">
        <f>IF('Design Info'!D18="","",'Design Info'!D18)</f>
        <v>john.smith@email.com</v>
      </c>
      <c r="Q35" s="167">
        <f>'Agg. Info'!B9</f>
        <v>0</v>
      </c>
      <c r="R35" s="50">
        <f t="shared" si="7"/>
      </c>
      <c r="S35" s="323"/>
      <c r="T35" s="42" t="str">
        <f>IF(Units=1,IF(Q3=1,21628,"21628M"),IF(Q3=1,21628,"21628M"))</f>
        <v>21628M</v>
      </c>
      <c r="U35" s="30" t="s">
        <v>272</v>
      </c>
      <c r="V35" s="43">
        <f>IF('Design Info'!$R$13=13,"X","")</f>
      </c>
      <c r="W35" s="454">
        <f t="shared" si="8"/>
      </c>
      <c r="X35" s="454">
        <f t="shared" si="9"/>
      </c>
      <c r="Y35" s="454">
        <f t="shared" si="10"/>
      </c>
      <c r="Z35" s="454">
        <f t="shared" si="11"/>
      </c>
      <c r="AA35" s="452">
        <f t="shared" si="12"/>
      </c>
      <c r="AB35" s="453">
        <f t="shared" si="13"/>
      </c>
      <c r="AC35" s="453">
        <f t="shared" si="14"/>
      </c>
      <c r="AD35" s="453">
        <f t="shared" si="15"/>
      </c>
      <c r="AE35" s="453">
        <f t="shared" si="16"/>
      </c>
      <c r="AF35" s="453">
        <f t="shared" si="17"/>
      </c>
      <c r="AG35" s="453">
        <f t="shared" si="18"/>
      </c>
      <c r="AH35" s="453">
        <f t="shared" si="19"/>
      </c>
    </row>
    <row r="36" spans="1:34" ht="15">
      <c r="A36" s="21"/>
      <c r="B36" s="269">
        <f>IF('FDM &amp; Admix'!B15="","",'FDM &amp; Admix'!B15)</f>
      </c>
      <c r="C36" s="164">
        <f>'FDM &amp; Admix'!Q20</f>
      </c>
      <c r="D36" s="252">
        <f>IF('FDM &amp; Admix'!E15="","",UPPER('FDM &amp; Admix'!E15))</f>
      </c>
      <c r="E36" s="198"/>
      <c r="F36" s="188"/>
      <c r="G36" s="252">
        <f>IF('FDM &amp; Admix'!G15="","",'FDM &amp; Admix'!G15)</f>
      </c>
      <c r="I36" s="86"/>
      <c r="J36" s="21"/>
      <c r="K36" s="169"/>
      <c r="L36" s="287"/>
      <c r="M36" s="37"/>
      <c r="O36" s="301" t="s">
        <v>234</v>
      </c>
      <c r="Q36" s="167">
        <f>'Agg. Info'!B10</f>
        <v>0</v>
      </c>
      <c r="R36" s="50">
        <f t="shared" si="7"/>
      </c>
      <c r="S36" s="323"/>
      <c r="T36" s="42" t="str">
        <f>IF(Units=1,IF(Q3=1,21629,"21629M"),IF(Q3=1,21629,"21629M"))</f>
        <v>21629M</v>
      </c>
      <c r="U36" s="30" t="s">
        <v>251</v>
      </c>
      <c r="V36" s="43">
        <f>IF('Design Info'!$R$13=14,"X","")</f>
      </c>
      <c r="W36" s="454">
        <f t="shared" si="8"/>
      </c>
      <c r="X36" s="454">
        <f t="shared" si="9"/>
      </c>
      <c r="Y36" s="454">
        <f t="shared" si="10"/>
      </c>
      <c r="Z36" s="454">
        <f t="shared" si="11"/>
      </c>
      <c r="AA36" s="452">
        <f t="shared" si="12"/>
      </c>
      <c r="AB36" s="453">
        <f t="shared" si="13"/>
      </c>
      <c r="AC36" s="453">
        <f t="shared" si="14"/>
      </c>
      <c r="AD36" s="453">
        <f t="shared" si="15"/>
      </c>
      <c r="AE36" s="453">
        <f t="shared" si="16"/>
      </c>
      <c r="AF36" s="453">
        <f t="shared" si="17"/>
      </c>
      <c r="AG36" s="453">
        <f t="shared" si="18"/>
      </c>
      <c r="AH36" s="453">
        <f t="shared" si="19"/>
      </c>
    </row>
    <row r="37" spans="2:34" ht="15.75" customHeight="1">
      <c r="B37" s="269">
        <f>IF('FDM &amp; Admix'!B16="","",'FDM &amp; Admix'!B16)</f>
      </c>
      <c r="C37" s="321">
        <f>'FDM &amp; Admix'!Q21</f>
      </c>
      <c r="D37" s="252">
        <f>IF('FDM &amp; Admix'!E16="","",UPPER('FDM &amp; Admix'!E16))</f>
      </c>
      <c r="E37" s="198"/>
      <c r="F37" s="131"/>
      <c r="G37" s="252">
        <f>IF('FDM &amp; Admix'!G16="","",'FDM &amp; Admix'!G16)</f>
      </c>
      <c r="I37" s="86"/>
      <c r="J37" s="21"/>
      <c r="K37" s="169"/>
      <c r="L37" s="169"/>
      <c r="M37" s="169"/>
      <c r="N37" s="169"/>
      <c r="O37" s="302">
        <f ca="1">NOW()</f>
        <v>45082.54176111111</v>
      </c>
      <c r="Q37" s="167">
        <f>'Agg. Info'!B11</f>
        <v>0</v>
      </c>
      <c r="R37" s="50">
        <f t="shared" si="7"/>
      </c>
      <c r="S37" s="323"/>
      <c r="T37" s="42" t="str">
        <f>IF(Units=1,IF(Q3=1,21632,"21632M"),IF(Q3=1,21632,"21632M"))</f>
        <v>21632M</v>
      </c>
      <c r="U37" s="30" t="s">
        <v>252</v>
      </c>
      <c r="V37" s="43">
        <f>IF('Design Info'!$R$13=15,"X","")</f>
      </c>
      <c r="W37" s="454">
        <f t="shared" si="8"/>
      </c>
      <c r="X37" s="454">
        <f t="shared" si="9"/>
      </c>
      <c r="Y37" s="454">
        <f t="shared" si="10"/>
      </c>
      <c r="Z37" s="454">
        <f t="shared" si="11"/>
      </c>
      <c r="AA37" s="452">
        <f t="shared" si="12"/>
      </c>
      <c r="AB37" s="453">
        <f t="shared" si="13"/>
      </c>
      <c r="AC37" s="453">
        <f t="shared" si="14"/>
      </c>
      <c r="AD37" s="453">
        <f t="shared" si="15"/>
      </c>
      <c r="AE37" s="453">
        <f t="shared" si="16"/>
      </c>
      <c r="AF37" s="453">
        <f t="shared" si="17"/>
      </c>
      <c r="AG37" s="453">
        <f t="shared" si="18"/>
      </c>
      <c r="AH37" s="453">
        <f t="shared" si="19"/>
      </c>
    </row>
    <row r="38" spans="2:23" ht="15.75" customHeight="1">
      <c r="B38" s="317"/>
      <c r="C38" s="268"/>
      <c r="D38" s="318"/>
      <c r="E38" s="37"/>
      <c r="F38" s="37"/>
      <c r="G38" s="319"/>
      <c r="H38" s="320"/>
      <c r="I38" s="86"/>
      <c r="J38" s="37"/>
      <c r="K38" s="124"/>
      <c r="L38" s="300"/>
      <c r="M38" s="300"/>
      <c r="R38" s="158" t="str">
        <f>IF('FDM &amp; Admix'!S3="","",IF(Units=1,IF($Q$3=1,'FDM &amp; Admix'!S3,'FDM &amp; Admix'!S3&amp;"M"),IF($Q$3=1,LEFT('FDM &amp; Admix'!S3,5),'FDM &amp; Admix'!S3)))</f>
        <v>37708M</v>
      </c>
      <c r="T38" s="42" t="str">
        <f>IF(Units=1,IF(Q3=1,21633,"21633M"),IF(Q3=1,21633,"21633M"))</f>
        <v>21633M</v>
      </c>
      <c r="U38" s="30" t="s">
        <v>273</v>
      </c>
      <c r="V38" s="43">
        <f>IF('Design Info'!$R$13=16,"X","")</f>
      </c>
      <c r="W38" s="17"/>
    </row>
    <row r="39" spans="18:23" ht="15">
      <c r="R39" s="158" t="str">
        <f>IF(OR('FDM &amp; Admix'!Z3="",'FDM &amp; Admix'!Z3="n/a"),"",IF(Units=1,IF($Q$3=1,'FDM &amp; Admix'!Z3,'FDM &amp; Admix'!Z3&amp;"M"),IF($Q$3=1,LEFT('FDM &amp; Admix'!Z3,5),'FDM &amp; Admix'!Z3)))</f>
        <v>37801M</v>
      </c>
      <c r="T39" s="42" t="str">
        <f>IF(Units=1,IF(Q3=1,21634,"21634M"),IF(Q3=1,21634,"21634M"))</f>
        <v>21634M</v>
      </c>
      <c r="U39" s="30" t="s">
        <v>253</v>
      </c>
      <c r="V39" s="43">
        <f>IF('Design Info'!$R$13=17,"X","")</f>
      </c>
      <c r="W39" s="17"/>
    </row>
    <row r="40" spans="1:23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37"/>
      <c r="M40" s="37"/>
      <c r="N40" s="37"/>
      <c r="R40" s="158">
        <f>IF(OR('FDM &amp; Admix'!Z7="",'FDM &amp; Admix'!Z7="n/a"),"",IF(Units=1,IF($Q$3=1,'FDM &amp; Admix'!Z7,'FDM &amp; Admix'!Z7&amp;"M"),IF($Q$3=1,LEFT('FDM &amp; Admix'!Z7,5),'FDM &amp; Admix'!Z7)))</f>
      </c>
      <c r="T40" s="42" t="str">
        <f>IF(Units=1,IF(Q3=1,21635,"21635M"),IF(Q3=1,21635,"21635M"))</f>
        <v>21635M</v>
      </c>
      <c r="U40" s="30" t="s">
        <v>254</v>
      </c>
      <c r="V40" s="43">
        <f>IF('Design Info'!$R$13=18,"X","")</f>
      </c>
      <c r="W40" s="17"/>
    </row>
    <row r="41" spans="18:23" ht="15">
      <c r="R41" s="158">
        <f>IF(OR('FDM &amp; Admix'!Z11="",'FDM &amp; Admix'!Z11="n/a"),"",IF(Units=1,IF($Q$3=1,'FDM &amp; Admix'!Z11,'FDM &amp; Admix'!Z11&amp;"M"),IF($Q$3=1,LEFT('FDM &amp; Admix'!Z11,5),'FDM &amp; Admix'!Z11)))</f>
      </c>
      <c r="T41" s="42" t="str">
        <f>IF(Units=1,IF(Q3=1,21636,"21636M"),IF(Q3=1,21636,"21636M"))</f>
        <v>21636M</v>
      </c>
      <c r="U41" s="30" t="s">
        <v>255</v>
      </c>
      <c r="V41" s="43">
        <f>IF('Design Info'!$R$13=19,"X","")</f>
      </c>
      <c r="W41" s="17"/>
    </row>
    <row r="42" spans="19:23" ht="15">
      <c r="S42" s="135"/>
      <c r="T42" s="42" t="str">
        <f>IF(Units=1,IF(Q3=1,21637,"21637M"),IF(Q3=1,21637,"21637M"))</f>
        <v>21637M</v>
      </c>
      <c r="U42" s="30" t="s">
        <v>379</v>
      </c>
      <c r="V42" s="43">
        <f>IF('Design Info'!$R$13=20,"X","")</f>
      </c>
      <c r="W42" s="17"/>
    </row>
    <row r="43" spans="18:23" ht="15">
      <c r="R43" s="37"/>
      <c r="S43" s="135"/>
      <c r="T43" s="42" t="str">
        <f>IF(Units=1,IF(Q3=1,21638,"21638M"),IF(Q3=1,21638,"21638M"))</f>
        <v>21638M</v>
      </c>
      <c r="U43" s="30" t="s">
        <v>380</v>
      </c>
      <c r="V43" s="43">
        <f>IF('Design Info'!$R$13=21,"X","")</f>
      </c>
      <c r="W43" s="17"/>
    </row>
    <row r="44" spans="18:22" ht="15">
      <c r="R44" s="136"/>
      <c r="S44" s="135"/>
      <c r="T44" s="42" t="str">
        <f>IF(Units=1,IF(Q3=1,21640,"21640M"),IF(Q3=1,21636,"21640M"))</f>
        <v>21640M</v>
      </c>
      <c r="U44" s="30" t="s">
        <v>376</v>
      </c>
      <c r="V44" s="43">
        <f>IF('Design Info'!$R$13=22,"X","")</f>
      </c>
    </row>
    <row r="45" spans="18:22" ht="15">
      <c r="R45" s="136"/>
      <c r="S45" s="135"/>
      <c r="T45" s="42" t="str">
        <f>IF(Units=1,IF(Q3=1,21641,"21641M"),IF(Q3=1,21641,"21641M"))</f>
        <v>21641M</v>
      </c>
      <c r="U45" s="30" t="s">
        <v>377</v>
      </c>
      <c r="V45" s="43">
        <f>IF('Design Info'!$R$13=23,"X","")</f>
      </c>
    </row>
    <row r="46" spans="18:22" ht="15">
      <c r="R46" s="136"/>
      <c r="S46" s="135"/>
      <c r="T46" s="42" t="str">
        <f>IF(Units=1,IF(Q3=1,21642,"21642M"),IF(Q3=1,21642,"21642M"))</f>
        <v>21642M</v>
      </c>
      <c r="U46" s="30" t="s">
        <v>378</v>
      </c>
      <c r="V46" s="43">
        <f>IF('Design Info'!$R$13=24,"X","")</f>
      </c>
    </row>
    <row r="47" spans="18:22" ht="15">
      <c r="R47" s="136"/>
      <c r="S47" s="135"/>
      <c r="T47" s="42" t="str">
        <f>IF(Units=1,IF(Q3=1,21643,"21643M"),IF(Q3=1,21643,"21643M"))</f>
        <v>21643M</v>
      </c>
      <c r="U47" s="30" t="s">
        <v>386</v>
      </c>
      <c r="V47" s="43">
        <f>IF('Design Info'!$R$13=25,"X","")</f>
      </c>
    </row>
    <row r="48" spans="20:22" ht="15">
      <c r="T48" s="42" t="str">
        <f>IF(Units=1,IF(Q3=1,21801,"21801M"),IF(Q3=1,21801,"21801M"))</f>
        <v>21801M</v>
      </c>
      <c r="U48" s="30" t="s">
        <v>274</v>
      </c>
      <c r="V48" s="43">
        <f>IF('Design Info'!$R$13=26,"X","")</f>
      </c>
    </row>
    <row r="49" spans="20:22" ht="15">
      <c r="T49" s="42" t="str">
        <f>IF(Units=1,IF(Q3=1,21803,"21803M"),IF(Q3=1,21803,"21803M"))</f>
        <v>21803M</v>
      </c>
      <c r="U49" s="30" t="s">
        <v>275</v>
      </c>
      <c r="V49" s="43">
        <f>IF('Design Info'!$R$13=27,"X","")</f>
      </c>
    </row>
    <row r="50" spans="20:22" ht="15" customHeight="1">
      <c r="T50" s="42" t="str">
        <f>IF(Units=1,IF(Q3=1,22106,"22106M"),IF(Q3=1,22106,"22106M"))</f>
        <v>22106M</v>
      </c>
      <c r="U50" s="266" t="s">
        <v>276</v>
      </c>
      <c r="V50" s="43">
        <f>IF('Design Info'!$R$13=28,"X","")</f>
      </c>
    </row>
    <row r="51" spans="20:22" ht="15">
      <c r="T51" s="42" t="str">
        <f>IF(Units=1,IF(Q3=1,22107,"22107M"),IF(Q3=1,22107,"22107M"))</f>
        <v>22107M</v>
      </c>
      <c r="U51" s="266" t="s">
        <v>277</v>
      </c>
      <c r="V51" s="43">
        <f>IF('Design Info'!$R$13=29,"X","")</f>
      </c>
    </row>
    <row r="102" ht="15" customHeight="1"/>
  </sheetData>
  <sheetProtection password="EE35" sheet="1"/>
  <mergeCells count="20">
    <mergeCell ref="J14:K14"/>
    <mergeCell ref="J22:K22"/>
    <mergeCell ref="C30:K30"/>
    <mergeCell ref="J16:K16"/>
    <mergeCell ref="J17:K17"/>
    <mergeCell ref="J18:K18"/>
    <mergeCell ref="G28:I28"/>
    <mergeCell ref="J20:K20"/>
    <mergeCell ref="C29:K29"/>
    <mergeCell ref="C28:D28"/>
    <mergeCell ref="M5:N5"/>
    <mergeCell ref="J19:K19"/>
    <mergeCell ref="J15:K15"/>
    <mergeCell ref="K7:L7"/>
    <mergeCell ref="I7:J7"/>
    <mergeCell ref="J21:K21"/>
    <mergeCell ref="J12:K12"/>
    <mergeCell ref="M11:N11"/>
    <mergeCell ref="M7:N7"/>
    <mergeCell ref="J13:K13"/>
  </mergeCells>
  <printOptions horizontalCentered="1" verticalCentered="1"/>
  <pageMargins left="0.5" right="0.5" top="0.5" bottom="0.5" header="0.5" footer="0.5"/>
  <pageSetup blackAndWhite="1" fitToHeight="1" fitToWidth="1" horizontalDpi="600" verticalDpi="600" orientation="landscape" scale="85" r:id="rId1"/>
  <headerFooter alignWithMargins="0">
    <oddFooter>&amp;L&amp;"Arial,Regular"&amp;10Printed &amp;D&amp;C&amp;"Arial,Regular"&amp;10Page 2 of 2&amp;R&amp;"Arial,Regular"&amp;10BMPR CNMX01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showRowColHeaders="0" zoomScale="90" zoomScaleNormal="90" workbookViewId="0" topLeftCell="A1">
      <selection activeCell="A1" sqref="A1"/>
    </sheetView>
  </sheetViews>
  <sheetFormatPr defaultColWidth="8.796875" defaultRowHeight="15.75"/>
  <cols>
    <col min="1" max="1" width="13" style="3" customWidth="1"/>
    <col min="2" max="2" width="7.69921875" style="324" customWidth="1"/>
    <col min="3" max="3" width="6.69921875" style="324" customWidth="1"/>
    <col min="4" max="7" width="5.69921875" style="324" customWidth="1"/>
    <col min="8" max="8" width="6.59765625" style="324" customWidth="1"/>
    <col min="9" max="10" width="5.69921875" style="324" customWidth="1"/>
    <col min="11" max="11" width="7.69921875" style="324" customWidth="1"/>
    <col min="12" max="12" width="9.69921875" style="324" customWidth="1"/>
    <col min="13" max="15" width="5.69921875" style="324" customWidth="1"/>
    <col min="16" max="16" width="8.796875" style="324" customWidth="1"/>
    <col min="17" max="19" width="7.09765625" style="324" customWidth="1"/>
    <col min="20" max="27" width="5.5" style="324" customWidth="1"/>
    <col min="28" max="16384" width="8.796875" style="324" customWidth="1"/>
  </cols>
  <sheetData>
    <row r="1" spans="2:15" ht="15">
      <c r="B1" s="325"/>
      <c r="C1" s="325"/>
      <c r="D1" s="325"/>
      <c r="E1" s="325"/>
      <c r="F1" s="605" t="s">
        <v>240</v>
      </c>
      <c r="G1" s="605"/>
      <c r="H1" s="605"/>
      <c r="I1" s="516"/>
      <c r="J1" s="325"/>
      <c r="K1" s="325"/>
      <c r="L1" s="325"/>
      <c r="M1" s="325"/>
      <c r="N1" s="325"/>
      <c r="O1" s="325"/>
    </row>
    <row r="2" spans="1:15" ht="15.75">
      <c r="A2" s="17"/>
      <c r="B2" s="325" t="s">
        <v>350</v>
      </c>
      <c r="C2" s="325"/>
      <c r="D2" s="606" t="s">
        <v>523</v>
      </c>
      <c r="E2" s="606"/>
      <c r="F2" s="499"/>
      <c r="G2" s="325"/>
      <c r="H2" s="325"/>
      <c r="I2" s="325"/>
      <c r="J2" s="496"/>
      <c r="K2" s="496" t="s">
        <v>502</v>
      </c>
      <c r="L2" s="346">
        <f>IF('Mix Report (English)'!G9=0,"",'Mix Report (English)'!G9)</f>
        <v>5.35</v>
      </c>
      <c r="M2" s="325"/>
      <c r="N2" s="325"/>
      <c r="O2" s="325"/>
    </row>
    <row r="3" spans="1:15" ht="15">
      <c r="A3" s="17"/>
      <c r="B3" s="325" t="s">
        <v>489</v>
      </c>
      <c r="C3" s="325"/>
      <c r="D3" s="607" t="str">
        <f>'Mix Report (English)'!C4</f>
        <v>PMC0001PV</v>
      </c>
      <c r="E3" s="607"/>
      <c r="F3" s="325"/>
      <c r="G3" s="325"/>
      <c r="H3" s="325"/>
      <c r="I3" s="325"/>
      <c r="J3" s="325"/>
      <c r="K3" s="496" t="s">
        <v>492</v>
      </c>
      <c r="L3" s="346">
        <f>'Mix Report (English)'!H9</f>
        <v>0.83</v>
      </c>
      <c r="M3" s="325"/>
      <c r="N3" s="325"/>
      <c r="O3" s="325"/>
    </row>
    <row r="4" spans="1:15" ht="16.5" customHeight="1">
      <c r="A4" s="17"/>
      <c r="B4" s="499" t="s">
        <v>490</v>
      </c>
      <c r="C4" s="325"/>
      <c r="D4" s="497">
        <f>'Mix Report (English)'!G3</f>
        <v>21605</v>
      </c>
      <c r="E4" s="499"/>
      <c r="F4" s="325"/>
      <c r="G4" s="325"/>
      <c r="H4" s="325"/>
      <c r="I4" s="325"/>
      <c r="J4" s="325"/>
      <c r="K4" s="496" t="s">
        <v>493</v>
      </c>
      <c r="L4" s="346">
        <f>'Mix Report (English)'!W5</f>
        <v>0.39</v>
      </c>
      <c r="M4" s="325"/>
      <c r="N4" s="325"/>
      <c r="O4" s="325"/>
    </row>
    <row r="5" spans="1:15" ht="16.5" customHeight="1">
      <c r="A5" s="17"/>
      <c r="B5" s="499" t="s">
        <v>491</v>
      </c>
      <c r="C5" s="325"/>
      <c r="D5" s="497" t="str">
        <f>'Mix Report (English)'!G4</f>
        <v>PV </v>
      </c>
      <c r="E5" s="499"/>
      <c r="F5" s="325"/>
      <c r="G5" s="325"/>
      <c r="H5" s="325"/>
      <c r="I5" s="325"/>
      <c r="J5" s="325"/>
      <c r="K5" s="496" t="s">
        <v>494</v>
      </c>
      <c r="L5" s="345">
        <f>'Mix Report (English)'!E9</f>
        <v>6.5</v>
      </c>
      <c r="M5" s="325"/>
      <c r="N5" s="325"/>
      <c r="O5" s="325"/>
    </row>
    <row r="6" spans="1:15" ht="15">
      <c r="A6" s="17"/>
      <c r="B6" s="325" t="s">
        <v>503</v>
      </c>
      <c r="C6" s="325"/>
      <c r="D6" s="499">
        <f>'Mix Report (English)'!B5</f>
        <v>91</v>
      </c>
      <c r="E6" s="499"/>
      <c r="F6" s="325"/>
      <c r="G6" s="325"/>
      <c r="H6" s="325"/>
      <c r="I6" s="325"/>
      <c r="J6" s="325"/>
      <c r="K6" s="496" t="s">
        <v>60</v>
      </c>
      <c r="L6" s="346">
        <f>'Mix Report (English)'!H24</f>
        <v>0.42</v>
      </c>
      <c r="M6" s="325"/>
      <c r="N6" s="325"/>
      <c r="O6" s="325"/>
    </row>
    <row r="7" spans="1:15" ht="15">
      <c r="A7" s="17"/>
      <c r="B7" s="499"/>
      <c r="C7" s="326"/>
      <c r="D7" s="526"/>
      <c r="E7" s="325"/>
      <c r="F7" s="325"/>
      <c r="G7" s="325"/>
      <c r="H7" s="504"/>
      <c r="I7" s="498"/>
      <c r="J7" s="325"/>
      <c r="K7" s="326"/>
      <c r="L7" s="326"/>
      <c r="M7" s="325"/>
      <c r="N7" s="325"/>
      <c r="O7" s="325"/>
    </row>
    <row r="8" spans="1:15" ht="15">
      <c r="A8" s="17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505" t="s">
        <v>508</v>
      </c>
      <c r="M8" s="325"/>
      <c r="N8" s="325"/>
      <c r="O8" s="325"/>
    </row>
    <row r="9" spans="1:27" s="326" customFormat="1" ht="15">
      <c r="A9" s="17"/>
      <c r="B9" s="325" t="s">
        <v>497</v>
      </c>
      <c r="C9" s="325"/>
      <c r="D9" s="344" t="s">
        <v>505</v>
      </c>
      <c r="E9" s="344"/>
      <c r="F9" s="344" t="s">
        <v>415</v>
      </c>
      <c r="G9" s="325"/>
      <c r="H9" s="325"/>
      <c r="I9" s="498"/>
      <c r="J9" s="506" t="s">
        <v>504</v>
      </c>
      <c r="K9" s="515" t="s">
        <v>506</v>
      </c>
      <c r="L9" s="524" t="s">
        <v>507</v>
      </c>
      <c r="M9" s="325"/>
      <c r="N9" s="325"/>
      <c r="O9" s="325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</row>
    <row r="10" spans="1:15" ht="16.5" customHeight="1">
      <c r="A10" s="17"/>
      <c r="B10" s="518" t="str">
        <f>'Mix Report (English)'!A13</f>
        <v>027FA01</v>
      </c>
      <c r="C10" s="519"/>
      <c r="D10" s="518" t="str">
        <f>'Mix Report (English)'!C13</f>
        <v>54321-01</v>
      </c>
      <c r="E10" s="519"/>
      <c r="F10" s="518" t="str">
        <f>'Mix Report (English)'!E13</f>
        <v>LITTLE ROCKS CO.</v>
      </c>
      <c r="G10" s="520"/>
      <c r="H10" s="520"/>
      <c r="I10" s="521"/>
      <c r="J10" s="544">
        <f>'Mix Report (English)'!I13</f>
        <v>2.66</v>
      </c>
      <c r="K10" s="545">
        <f>IF(J10="","",'Mix Report (English)'!J13)</f>
        <v>100</v>
      </c>
      <c r="L10" s="546">
        <f>IF(J10="","",'Mix Report (English)'!M13)</f>
        <v>1204.9622046000002</v>
      </c>
      <c r="M10" s="325"/>
      <c r="N10" s="325"/>
      <c r="O10" s="325"/>
    </row>
    <row r="11" spans="1:15" ht="15">
      <c r="A11" s="17"/>
      <c r="B11" s="518" t="str">
        <f>'Mix Report (English)'!A14</f>
        <v>022CA07</v>
      </c>
      <c r="C11" s="519"/>
      <c r="D11" s="518" t="str">
        <f>'Mix Report (English)'!C14</f>
        <v>12345-05</v>
      </c>
      <c r="E11" s="519"/>
      <c r="F11" s="518" t="str">
        <f>'Mix Report (English)'!E14</f>
        <v>BIG ROCK CO.</v>
      </c>
      <c r="G11" s="520"/>
      <c r="H11" s="520"/>
      <c r="I11" s="521"/>
      <c r="J11" s="544">
        <f>'Mix Report (English)'!I14</f>
        <v>2.68</v>
      </c>
      <c r="K11" s="545">
        <f>IF(J11="","",'Mix Report (English)'!J14)</f>
        <v>100</v>
      </c>
      <c r="L11" s="546">
        <f>IF(J11="","",'Mix Report (English)'!M14)</f>
        <v>1911.7462795200001</v>
      </c>
      <c r="M11" s="325"/>
      <c r="N11" s="325"/>
      <c r="O11" s="325"/>
    </row>
    <row r="12" spans="1:15" ht="15">
      <c r="A12" s="17"/>
      <c r="B12" s="518">
        <f>'Mix Report (English)'!A15</f>
      </c>
      <c r="C12" s="519"/>
      <c r="D12" s="518">
        <f>'Mix Report (English)'!C15</f>
      </c>
      <c r="E12" s="519"/>
      <c r="F12" s="518">
        <f>'Mix Report (English)'!E15</f>
      </c>
      <c r="G12" s="520"/>
      <c r="H12" s="520"/>
      <c r="I12" s="521"/>
      <c r="J12" s="544">
        <f>'Mix Report (English)'!I15</f>
      </c>
      <c r="K12" s="545">
        <f>IF(J12="","",'Mix Report (English)'!J15)</f>
      </c>
      <c r="L12" s="546">
        <f>IF(J12="","",'Mix Report (English)'!M15)</f>
      </c>
      <c r="M12" s="325"/>
      <c r="N12" s="325"/>
      <c r="O12" s="325"/>
    </row>
    <row r="13" spans="1:15" ht="15">
      <c r="A13" s="17"/>
      <c r="B13" s="518">
        <f>'Mix Report (English)'!A16</f>
      </c>
      <c r="C13" s="519"/>
      <c r="D13" s="518">
        <f>'Mix Report (English)'!C16</f>
      </c>
      <c r="E13" s="519"/>
      <c r="F13" s="518">
        <f>'Mix Report (English)'!E16</f>
      </c>
      <c r="G13" s="520"/>
      <c r="H13" s="520"/>
      <c r="I13" s="521"/>
      <c r="J13" s="544">
        <f>'Mix Report (English)'!I16</f>
      </c>
      <c r="K13" s="545">
        <f>IF(J13="","",'Mix Report (English)'!J16)</f>
      </c>
      <c r="L13" s="546">
        <f>IF(J13="","",'Mix Report (English)'!M16)</f>
      </c>
      <c r="M13" s="325"/>
      <c r="N13" s="325"/>
      <c r="O13" s="325"/>
    </row>
    <row r="14" spans="1:15" ht="15">
      <c r="A14" s="17"/>
      <c r="B14" s="518">
        <f>'Mix Report (English)'!A17</f>
      </c>
      <c r="C14" s="519"/>
      <c r="D14" s="518">
        <f>'Mix Report (English)'!C17</f>
      </c>
      <c r="E14" s="519"/>
      <c r="F14" s="518">
        <f>'Mix Report (English)'!E17</f>
      </c>
      <c r="G14" s="520"/>
      <c r="H14" s="520"/>
      <c r="I14" s="521"/>
      <c r="J14" s="544">
        <f>'Mix Report (English)'!I17</f>
      </c>
      <c r="K14" s="545">
        <f>IF(J14="","",'Mix Report (English)'!J17)</f>
      </c>
      <c r="L14" s="546">
        <f>IF(J14="","",'Mix Report (English)'!M17)</f>
      </c>
      <c r="M14" s="325"/>
      <c r="N14" s="325"/>
      <c r="O14" s="325"/>
    </row>
    <row r="15" spans="1:15" ht="15">
      <c r="A15" s="17"/>
      <c r="B15" s="518">
        <f>'Mix Report (English)'!A18</f>
      </c>
      <c r="C15" s="519"/>
      <c r="D15" s="518">
        <f>'Mix Report (English)'!C18</f>
      </c>
      <c r="E15" s="519"/>
      <c r="F15" s="518">
        <f>'Mix Report (English)'!E18</f>
      </c>
      <c r="G15" s="520"/>
      <c r="H15" s="520"/>
      <c r="I15" s="521"/>
      <c r="J15" s="544">
        <f>'Mix Report (English)'!I18</f>
      </c>
      <c r="K15" s="545">
        <f>IF(J15="","",'Mix Report (English)'!J18)</f>
      </c>
      <c r="L15" s="546">
        <f>IF(J15="","",'Mix Report (English)'!M18)</f>
      </c>
      <c r="M15" s="325"/>
      <c r="N15" s="325"/>
      <c r="O15" s="325"/>
    </row>
    <row r="16" spans="1:15" ht="15">
      <c r="A16" s="17"/>
      <c r="B16" s="511"/>
      <c r="C16" s="511"/>
      <c r="D16" s="511"/>
      <c r="E16" s="511"/>
      <c r="F16" s="511"/>
      <c r="G16" s="511"/>
      <c r="H16" s="511"/>
      <c r="I16" s="328"/>
      <c r="J16" s="513"/>
      <c r="K16" s="514"/>
      <c r="L16" s="512"/>
      <c r="M16" s="325"/>
      <c r="N16" s="325"/>
      <c r="O16" s="325"/>
    </row>
    <row r="17" spans="1:15" ht="15">
      <c r="A17" s="17"/>
      <c r="B17" s="344" t="s">
        <v>498</v>
      </c>
      <c r="C17" s="344"/>
      <c r="D17" s="344" t="s">
        <v>505</v>
      </c>
      <c r="E17" s="344"/>
      <c r="F17" s="344" t="s">
        <v>415</v>
      </c>
      <c r="G17" s="344"/>
      <c r="H17" s="344"/>
      <c r="I17" s="328"/>
      <c r="J17" s="506" t="s">
        <v>504</v>
      </c>
      <c r="K17" s="515" t="s">
        <v>506</v>
      </c>
      <c r="L17" s="524" t="s">
        <v>507</v>
      </c>
      <c r="M17" s="325"/>
      <c r="N17" s="325"/>
      <c r="O17" s="325"/>
    </row>
    <row r="18" spans="1:15" ht="16.5" customHeight="1">
      <c r="A18" s="17"/>
      <c r="B18" s="518" t="str">
        <f>'Mix Report (English)'!A19</f>
        <v>37708</v>
      </c>
      <c r="C18" s="519"/>
      <c r="D18" s="518" t="str">
        <f>'Mix Report (English)'!C19</f>
        <v>555-01</v>
      </c>
      <c r="E18" s="519"/>
      <c r="F18" s="518" t="str">
        <f>'Mix Report (English)'!E19</f>
        <v>BIG CEMENT, CO.</v>
      </c>
      <c r="G18" s="520"/>
      <c r="H18" s="522"/>
      <c r="I18" s="523"/>
      <c r="J18" s="544">
        <f>'Mix Report (English)'!I19</f>
        <v>3.15</v>
      </c>
      <c r="K18" s="545">
        <f>IF(J18="","",'Mix Report (English)'!J19)</f>
        <v>75</v>
      </c>
      <c r="L18" s="546">
        <f>IF(J18="","",'Mix Report (English)'!M19)</f>
        <v>405</v>
      </c>
      <c r="M18" s="325"/>
      <c r="N18" s="325"/>
      <c r="O18" s="325"/>
    </row>
    <row r="19" spans="1:15" ht="16.5" customHeight="1">
      <c r="A19" s="17"/>
      <c r="B19" s="518" t="str">
        <f>'Mix Report (English)'!A20</f>
        <v>37801</v>
      </c>
      <c r="C19" s="519"/>
      <c r="D19" s="518" t="str">
        <f>'Mix Report (English)'!C20</f>
        <v>43215-01</v>
      </c>
      <c r="E19" s="519"/>
      <c r="F19" s="518" t="str">
        <f>'Mix Report (English)'!E20</f>
        <v>ASH MARKETERS, INC.</v>
      </c>
      <c r="G19" s="520"/>
      <c r="H19" s="522"/>
      <c r="I19" s="523"/>
      <c r="J19" s="544">
        <f>'Mix Report (English)'!I20</f>
        <v>2.61</v>
      </c>
      <c r="K19" s="545">
        <f>IF(J19="","",'Mix Report (English)'!J20)</f>
        <v>25</v>
      </c>
      <c r="L19" s="546">
        <f>IF(J19="","",'Mix Report (English)'!M20)</f>
        <v>135</v>
      </c>
      <c r="M19" s="325"/>
      <c r="N19" s="325"/>
      <c r="O19" s="325"/>
    </row>
    <row r="20" spans="1:15" ht="16.5" customHeight="1">
      <c r="A20" s="17"/>
      <c r="B20" s="518">
        <f>'Mix Report (English)'!A21</f>
      </c>
      <c r="C20" s="519"/>
      <c r="D20" s="518">
        <f>'Mix Report (English)'!C21</f>
      </c>
      <c r="E20" s="519"/>
      <c r="F20" s="518">
        <f>'Mix Report (English)'!E21</f>
      </c>
      <c r="G20" s="520"/>
      <c r="H20" s="522"/>
      <c r="I20" s="523"/>
      <c r="J20" s="544">
        <f>'Mix Report (English)'!I21</f>
      </c>
      <c r="K20" s="545">
        <f>IF(J20="","",'Mix Report (English)'!J21)</f>
      </c>
      <c r="L20" s="546">
        <f>IF(J20="","",'Mix Report (English)'!M21)</f>
      </c>
      <c r="M20" s="325"/>
      <c r="N20" s="325"/>
      <c r="O20" s="325"/>
    </row>
    <row r="21" spans="1:15" ht="16.5" customHeight="1">
      <c r="A21" s="17"/>
      <c r="B21" s="518">
        <f>'Mix Report (English)'!A22</f>
      </c>
      <c r="C21" s="519"/>
      <c r="D21" s="518">
        <f>'Mix Report (English)'!C22</f>
      </c>
      <c r="E21" s="519"/>
      <c r="F21" s="518">
        <f>'Mix Report (English)'!E22</f>
      </c>
      <c r="G21" s="520"/>
      <c r="H21" s="522"/>
      <c r="I21" s="523"/>
      <c r="J21" s="544">
        <f>'Mix Report (English)'!I22</f>
      </c>
      <c r="K21" s="545">
        <f>IF(J21="","",'Mix Report (English)'!J22)</f>
      </c>
      <c r="L21" s="546">
        <f>IF(J21="","",'Mix Report (English)'!M22)</f>
      </c>
      <c r="M21" s="325"/>
      <c r="N21" s="325"/>
      <c r="O21" s="325"/>
    </row>
    <row r="22" spans="1:15" ht="15">
      <c r="A22" s="17"/>
      <c r="B22" s="325"/>
      <c r="C22" s="325"/>
      <c r="D22" s="325"/>
      <c r="E22" s="325"/>
      <c r="F22" s="325"/>
      <c r="G22" s="325"/>
      <c r="H22" s="325"/>
      <c r="I22" s="325"/>
      <c r="J22" s="325"/>
      <c r="K22" s="507" t="s">
        <v>509</v>
      </c>
      <c r="L22" s="546">
        <f>IF('Mix Report (English)'!N26=0,"",'Mix Report (English)'!N26)</f>
        <v>227</v>
      </c>
      <c r="M22" s="325"/>
      <c r="N22" s="325"/>
      <c r="O22" s="325"/>
    </row>
    <row r="23" spans="1:15" ht="15">
      <c r="A23" s="17"/>
      <c r="B23" s="325"/>
      <c r="C23" s="325"/>
      <c r="D23" s="325"/>
      <c r="E23" s="325"/>
      <c r="F23" s="325"/>
      <c r="G23" s="325"/>
      <c r="H23" s="325"/>
      <c r="I23" s="325"/>
      <c r="J23" s="325"/>
      <c r="K23" s="507" t="s">
        <v>510</v>
      </c>
      <c r="L23" s="546">
        <f>IF('Mix Report (English)'!N24=0,"",'Mix Report (English)'!N24)</f>
        <v>3883.7084841200003</v>
      </c>
      <c r="M23" s="325"/>
      <c r="N23" s="325"/>
      <c r="O23" s="325"/>
    </row>
    <row r="24" spans="2:15" ht="15">
      <c r="B24" s="499" t="s">
        <v>495</v>
      </c>
      <c r="C24" s="325"/>
      <c r="D24" s="327" t="str">
        <f>IF('Mix Report (English)'!C28="","",'Mix Report (English)'!C28)</f>
        <v>1234-05</v>
      </c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2:15" ht="15">
      <c r="B25" s="499" t="s">
        <v>496</v>
      </c>
      <c r="C25" s="325"/>
      <c r="D25" s="344" t="str">
        <f>IF('Design Info'!D20="","",'Mix Report (English)'!G28)</f>
        <v>EVERYMAN REDI-MIX CO.</v>
      </c>
      <c r="E25" s="325"/>
      <c r="F25" s="325"/>
      <c r="G25" s="325"/>
      <c r="H25" s="325"/>
      <c r="I25" s="325"/>
      <c r="J25" s="325"/>
      <c r="K25" s="507" t="s">
        <v>511</v>
      </c>
      <c r="L25" s="547">
        <f>IF('Mix Report (English)'!M26=0,"",ROUND('Mix Report (English)'!M26,1))</f>
        <v>27.2</v>
      </c>
      <c r="M25" s="325"/>
      <c r="N25" s="325"/>
      <c r="O25" s="325"/>
    </row>
    <row r="26" spans="2:15" ht="15">
      <c r="B26" s="496"/>
      <c r="C26" s="509"/>
      <c r="D26" s="325"/>
      <c r="E26" s="325"/>
      <c r="F26" s="325"/>
      <c r="G26" s="325"/>
      <c r="H26" s="325"/>
      <c r="I26" s="325"/>
      <c r="J26" s="325"/>
      <c r="K26" s="496"/>
      <c r="L26" s="510"/>
      <c r="M26" s="517"/>
      <c r="N26" s="517"/>
      <c r="O26" s="517"/>
    </row>
    <row r="27" spans="2:15" ht="15">
      <c r="B27" s="499" t="s">
        <v>242</v>
      </c>
      <c r="C27" s="608" t="str">
        <f>'Mix Report (English)'!C29</f>
        <v>ASR Mix Option 2, 25% fly ash</v>
      </c>
      <c r="D27" s="608"/>
      <c r="E27" s="608"/>
      <c r="F27" s="608"/>
      <c r="G27" s="608"/>
      <c r="H27" s="608"/>
      <c r="I27" s="608"/>
      <c r="J27" s="608"/>
      <c r="K27" s="608"/>
      <c r="L27" s="608"/>
      <c r="M27" s="517"/>
      <c r="N27" s="517"/>
      <c r="O27" s="517"/>
    </row>
    <row r="28" spans="2:12" ht="15">
      <c r="B28" s="325"/>
      <c r="C28" s="608">
        <f>'Mix Report (English)'!C30</f>
      </c>
      <c r="D28" s="608"/>
      <c r="E28" s="608"/>
      <c r="F28" s="608"/>
      <c r="G28" s="608"/>
      <c r="H28" s="608"/>
      <c r="I28" s="608"/>
      <c r="J28" s="608"/>
      <c r="K28" s="608"/>
      <c r="L28" s="608"/>
    </row>
    <row r="29" spans="2:12" ht="15"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</row>
    <row r="30" spans="2:12" ht="15">
      <c r="B30" s="499" t="s">
        <v>499</v>
      </c>
      <c r="C30" s="327" t="str">
        <f>IF('Design Info'!D16="","",UPPER('Design Info'!D16))</f>
        <v>JOHN SMITH</v>
      </c>
      <c r="D30" s="325"/>
      <c r="E30" s="325"/>
      <c r="F30" s="325"/>
      <c r="G30" s="325"/>
      <c r="H30" s="325"/>
      <c r="I30" s="325"/>
      <c r="J30" s="325"/>
      <c r="K30" s="325"/>
      <c r="L30" s="325"/>
    </row>
    <row r="31" spans="2:12" ht="15">
      <c r="B31" s="508" t="s">
        <v>500</v>
      </c>
      <c r="C31" s="327" t="str">
        <f>IF('Design Info'!D17="","",'Design Info'!D17)</f>
        <v>555-555-5555</v>
      </c>
      <c r="D31" s="325"/>
      <c r="E31" s="325"/>
      <c r="F31" s="325"/>
      <c r="G31" s="325"/>
      <c r="H31" s="325"/>
      <c r="I31" s="325"/>
      <c r="J31" s="325"/>
      <c r="K31" s="325"/>
      <c r="L31" s="325"/>
    </row>
    <row r="32" spans="1:12" ht="14.25">
      <c r="A32" s="66"/>
      <c r="B32" s="508" t="s">
        <v>501</v>
      </c>
      <c r="C32" s="325" t="str">
        <f>IF('Design Info'!D18="","",'Design Info'!D18)</f>
        <v>john.smith@email.com</v>
      </c>
      <c r="D32" s="325"/>
      <c r="E32" s="325"/>
      <c r="F32" s="325"/>
      <c r="G32" s="325"/>
      <c r="H32" s="325"/>
      <c r="I32" s="325"/>
      <c r="J32" s="325"/>
      <c r="K32" s="325"/>
      <c r="L32" s="325"/>
    </row>
    <row r="33" ht="14.25">
      <c r="A33" s="67"/>
    </row>
    <row r="34" spans="1:9" ht="14.25">
      <c r="A34" s="67"/>
      <c r="B34" s="324" t="s">
        <v>530</v>
      </c>
      <c r="D34" s="324" t="s">
        <v>59</v>
      </c>
      <c r="E34" s="324" t="s">
        <v>5</v>
      </c>
      <c r="F34" s="324" t="s">
        <v>4</v>
      </c>
      <c r="I34" s="324" t="s">
        <v>54</v>
      </c>
    </row>
    <row r="35" spans="1:10" ht="14.25">
      <c r="A35" s="67"/>
      <c r="D35" s="536">
        <f>'Mix Report (English)'!B34</f>
        <v>42000</v>
      </c>
      <c r="E35" s="535" t="str">
        <f>'Mix Report (English)'!C34</f>
        <v>AEA</v>
      </c>
      <c r="F35" s="534" t="str">
        <f>'Mix Report (English)'!D34</f>
        <v>AIR PLUS X</v>
      </c>
      <c r="G35" s="532"/>
      <c r="H35" s="530"/>
      <c r="I35" s="534">
        <f>'Mix Report (English)'!G34</f>
      </c>
      <c r="J35" s="532"/>
    </row>
    <row r="36" spans="4:10" ht="15">
      <c r="D36" s="536">
        <f>'Mix Report (English)'!B35</f>
        <v>43000</v>
      </c>
      <c r="E36" s="535" t="str">
        <f>'Mix Report (English)'!C35</f>
        <v>A</v>
      </c>
      <c r="F36" s="534" t="str">
        <f>'Mix Report (English)'!D35</f>
        <v>WATER REDUCTO 2000</v>
      </c>
      <c r="G36" s="533"/>
      <c r="H36" s="531"/>
      <c r="I36" s="534">
        <f>'Mix Report (English)'!G35</f>
      </c>
      <c r="J36" s="533"/>
    </row>
    <row r="37" spans="4:10" ht="15">
      <c r="D37" s="536">
        <f>'Mix Report (English)'!B36</f>
      </c>
      <c r="E37" s="535">
        <f>'Mix Report (English)'!C36</f>
      </c>
      <c r="F37" s="534">
        <f>'Mix Report (English)'!D36</f>
      </c>
      <c r="G37" s="533"/>
      <c r="H37" s="531"/>
      <c r="I37" s="534">
        <f>'Mix Report (English)'!G36</f>
      </c>
      <c r="J37" s="533"/>
    </row>
    <row r="38" spans="4:12" ht="15">
      <c r="D38" s="536">
        <f>'Mix Report (English)'!B37</f>
      </c>
      <c r="E38" s="535">
        <f>'Mix Report (English)'!C37</f>
      </c>
      <c r="F38" s="534">
        <f>'Mix Report (English)'!D37</f>
      </c>
      <c r="G38" s="533"/>
      <c r="H38" s="531"/>
      <c r="I38" s="534">
        <f>'Mix Report (English)'!G37</f>
      </c>
      <c r="J38" s="533"/>
      <c r="L38" s="324" t="str">
        <f>'Design Info'!J1</f>
        <v>Version X1.0</v>
      </c>
    </row>
    <row r="45" ht="13.5">
      <c r="A45" s="58"/>
    </row>
  </sheetData>
  <sheetProtection password="EE35" sheet="1"/>
  <mergeCells count="5">
    <mergeCell ref="F1:H1"/>
    <mergeCell ref="D2:E2"/>
    <mergeCell ref="D3:E3"/>
    <mergeCell ref="C27:L27"/>
    <mergeCell ref="C28:L28"/>
  </mergeCells>
  <printOptions horizontalCentered="1"/>
  <pageMargins left="0.25" right="0.25" top="0.75" bottom="0.75" header="0.3" footer="0.3"/>
  <pageSetup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showRowColHeaders="0" zoomScale="90" zoomScaleNormal="90" workbookViewId="0" topLeftCell="A1">
      <selection activeCell="A1" sqref="A1"/>
    </sheetView>
  </sheetViews>
  <sheetFormatPr defaultColWidth="8.796875" defaultRowHeight="15.75"/>
  <cols>
    <col min="1" max="1" width="13" style="3" customWidth="1"/>
    <col min="2" max="2" width="7.69921875" style="324" customWidth="1"/>
    <col min="3" max="3" width="6.69921875" style="324" customWidth="1"/>
    <col min="4" max="7" width="5.69921875" style="324" customWidth="1"/>
    <col min="8" max="8" width="6.59765625" style="324" customWidth="1"/>
    <col min="9" max="10" width="5.69921875" style="324" customWidth="1"/>
    <col min="11" max="11" width="7.69921875" style="324" customWidth="1"/>
    <col min="12" max="12" width="9.69921875" style="324" customWidth="1"/>
    <col min="13" max="15" width="5.69921875" style="324" customWidth="1"/>
    <col min="16" max="16" width="8.796875" style="324" customWidth="1"/>
    <col min="17" max="19" width="7.09765625" style="324" customWidth="1"/>
    <col min="20" max="27" width="5.5" style="324" customWidth="1"/>
    <col min="28" max="16384" width="8.796875" style="324" customWidth="1"/>
  </cols>
  <sheetData>
    <row r="1" spans="2:15" ht="15">
      <c r="B1" s="325"/>
      <c r="C1" s="325"/>
      <c r="D1" s="325"/>
      <c r="E1" s="325"/>
      <c r="F1" s="605" t="s">
        <v>240</v>
      </c>
      <c r="G1" s="605"/>
      <c r="H1" s="605"/>
      <c r="I1" s="516"/>
      <c r="J1" s="325"/>
      <c r="K1" s="325"/>
      <c r="L1" s="325"/>
      <c r="M1" s="325"/>
      <c r="N1" s="325"/>
      <c r="O1" s="325"/>
    </row>
    <row r="2" spans="1:15" ht="15.75">
      <c r="A2" s="17"/>
      <c r="B2" s="325" t="s">
        <v>350</v>
      </c>
      <c r="C2" s="325"/>
      <c r="D2" s="606" t="s">
        <v>523</v>
      </c>
      <c r="E2" s="606"/>
      <c r="F2" s="499"/>
      <c r="G2" s="325"/>
      <c r="H2" s="325"/>
      <c r="I2" s="325"/>
      <c r="J2" s="496"/>
      <c r="K2" s="496" t="s">
        <v>524</v>
      </c>
      <c r="L2" s="527">
        <f>IF('Mix Report (metric)'!G9=0,"",'Mix Report (metric)'!G9)</f>
        <v>320</v>
      </c>
      <c r="M2" s="325"/>
      <c r="N2" s="325"/>
      <c r="O2" s="325"/>
    </row>
    <row r="3" spans="1:15" ht="15">
      <c r="A3" s="17"/>
      <c r="B3" s="325" t="s">
        <v>489</v>
      </c>
      <c r="C3" s="325"/>
      <c r="D3" s="607" t="str">
        <f>'Mix Report (metric)'!C4</f>
        <v>PMC0001PV</v>
      </c>
      <c r="E3" s="607"/>
      <c r="F3" s="325"/>
      <c r="G3" s="325"/>
      <c r="H3" s="325"/>
      <c r="I3" s="325"/>
      <c r="J3" s="325"/>
      <c r="K3" s="496" t="s">
        <v>492</v>
      </c>
      <c r="L3" s="346">
        <f>'Mix Report (metric)'!H9</f>
        <v>0.83</v>
      </c>
      <c r="M3" s="325"/>
      <c r="N3" s="325"/>
      <c r="O3" s="325"/>
    </row>
    <row r="4" spans="1:15" ht="16.5" customHeight="1">
      <c r="A4" s="17"/>
      <c r="B4" s="499" t="s">
        <v>490</v>
      </c>
      <c r="C4" s="325"/>
      <c r="D4" s="497" t="str">
        <f>'Mix Report (metric)'!G3</f>
        <v>21605M</v>
      </c>
      <c r="E4" s="499"/>
      <c r="F4" s="325"/>
      <c r="G4" s="325"/>
      <c r="H4" s="325"/>
      <c r="I4" s="325"/>
      <c r="J4" s="325"/>
      <c r="K4" s="496" t="s">
        <v>493</v>
      </c>
      <c r="L4" s="346">
        <f>'Mix Report (metric)'!W6</f>
        <v>0.39</v>
      </c>
      <c r="M4" s="325"/>
      <c r="N4" s="325"/>
      <c r="O4" s="325"/>
    </row>
    <row r="5" spans="1:15" ht="16.5" customHeight="1">
      <c r="A5" s="17"/>
      <c r="B5" s="499" t="s">
        <v>491</v>
      </c>
      <c r="C5" s="325"/>
      <c r="D5" s="497" t="str">
        <f>'Mix Report (metric)'!G4</f>
        <v>PV </v>
      </c>
      <c r="E5" s="499"/>
      <c r="F5" s="325"/>
      <c r="G5" s="325"/>
      <c r="H5" s="325"/>
      <c r="I5" s="325"/>
      <c r="J5" s="325"/>
      <c r="K5" s="496" t="s">
        <v>494</v>
      </c>
      <c r="L5" s="345">
        <f>'Mix Report (metric)'!E9</f>
        <v>6.5</v>
      </c>
      <c r="M5" s="325"/>
      <c r="N5" s="325"/>
      <c r="O5" s="325"/>
    </row>
    <row r="6" spans="1:15" ht="15">
      <c r="A6" s="17"/>
      <c r="B6" s="325" t="s">
        <v>503</v>
      </c>
      <c r="C6" s="325"/>
      <c r="D6" s="499">
        <f>'Mix Report (metric)'!B5</f>
        <v>91</v>
      </c>
      <c r="E6" s="499"/>
      <c r="F6" s="325"/>
      <c r="G6" s="325"/>
      <c r="H6" s="325"/>
      <c r="I6" s="325"/>
      <c r="J6" s="325"/>
      <c r="K6" s="496" t="s">
        <v>60</v>
      </c>
      <c r="L6" s="346">
        <f>'Mix Report (metric)'!H24</f>
        <v>0.42</v>
      </c>
      <c r="M6" s="325"/>
      <c r="N6" s="325"/>
      <c r="O6" s="325"/>
    </row>
    <row r="7" spans="1:15" ht="15">
      <c r="A7" s="17"/>
      <c r="B7" s="499"/>
      <c r="C7" s="326"/>
      <c r="D7" s="526"/>
      <c r="E7" s="325"/>
      <c r="F7" s="325"/>
      <c r="G7" s="325"/>
      <c r="H7" s="504"/>
      <c r="I7" s="498"/>
      <c r="J7" s="325"/>
      <c r="K7" s="326"/>
      <c r="L7" s="326"/>
      <c r="M7" s="325"/>
      <c r="N7" s="325"/>
      <c r="O7" s="325"/>
    </row>
    <row r="8" spans="1:15" ht="15">
      <c r="A8" s="17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505" t="s">
        <v>508</v>
      </c>
      <c r="M8" s="325"/>
      <c r="N8" s="325"/>
      <c r="O8" s="325"/>
    </row>
    <row r="9" spans="1:27" s="326" customFormat="1" ht="15">
      <c r="A9" s="17"/>
      <c r="B9" s="325" t="s">
        <v>497</v>
      </c>
      <c r="C9" s="325"/>
      <c r="D9" s="344" t="s">
        <v>505</v>
      </c>
      <c r="E9" s="344"/>
      <c r="F9" s="344" t="s">
        <v>415</v>
      </c>
      <c r="G9" s="325"/>
      <c r="H9" s="325"/>
      <c r="I9" s="498"/>
      <c r="J9" s="506" t="s">
        <v>504</v>
      </c>
      <c r="K9" s="515" t="s">
        <v>506</v>
      </c>
      <c r="L9" s="524" t="s">
        <v>525</v>
      </c>
      <c r="M9" s="325"/>
      <c r="N9" s="325"/>
      <c r="O9" s="325"/>
      <c r="Q9" s="324"/>
      <c r="R9" s="324"/>
      <c r="S9" s="324"/>
      <c r="T9" s="324"/>
      <c r="U9" s="324"/>
      <c r="V9" s="324"/>
      <c r="W9" s="324"/>
      <c r="X9" s="324"/>
      <c r="Y9" s="324"/>
      <c r="Z9" s="324"/>
      <c r="AA9" s="324"/>
    </row>
    <row r="10" spans="1:15" ht="16.5" customHeight="1">
      <c r="A10" s="17"/>
      <c r="B10" s="518" t="str">
        <f>'Mix Report (metric)'!A13</f>
        <v>027FAM01</v>
      </c>
      <c r="C10" s="519"/>
      <c r="D10" s="518" t="str">
        <f>'Mix Report (metric)'!C13</f>
        <v>54321-01</v>
      </c>
      <c r="E10" s="519"/>
      <c r="F10" s="518" t="str">
        <f>'Mix Report (metric)'!E13</f>
        <v>LITTLE ROCKS CO.</v>
      </c>
      <c r="G10" s="520"/>
      <c r="H10" s="520"/>
      <c r="I10" s="521"/>
      <c r="J10" s="544">
        <f>'Mix Report (metric)'!I13</f>
        <v>2.66</v>
      </c>
      <c r="K10" s="545">
        <f>IF(J10="","",'Mix Report (metric)'!J13)</f>
        <v>100</v>
      </c>
      <c r="L10" s="546">
        <f>IF(J10="","",'Mix Report (metric)'!M13)</f>
        <v>718.2</v>
      </c>
      <c r="M10" s="325"/>
      <c r="N10" s="325"/>
      <c r="O10" s="325"/>
    </row>
    <row r="11" spans="1:15" ht="15">
      <c r="A11" s="17"/>
      <c r="B11" s="518" t="str">
        <f>'Mix Report (metric)'!A14</f>
        <v>022CAM07</v>
      </c>
      <c r="C11" s="519"/>
      <c r="D11" s="518" t="str">
        <f>'Mix Report (metric)'!C14</f>
        <v>12345-05</v>
      </c>
      <c r="E11" s="519"/>
      <c r="F11" s="518" t="str">
        <f>'Mix Report (metric)'!E14</f>
        <v>BIG ROCK CO.</v>
      </c>
      <c r="G11" s="520"/>
      <c r="H11" s="520"/>
      <c r="I11" s="521"/>
      <c r="J11" s="544">
        <f>'Mix Report (metric)'!I14</f>
        <v>2.68</v>
      </c>
      <c r="K11" s="545">
        <f>IF(J11="","",'Mix Report (metric)'!J14)</f>
        <v>100</v>
      </c>
      <c r="L11" s="546">
        <f>IF(J11="","",'Mix Report (metric)'!M14)</f>
        <v>1135.248</v>
      </c>
      <c r="M11" s="325"/>
      <c r="N11" s="325"/>
      <c r="O11" s="325"/>
    </row>
    <row r="12" spans="1:15" ht="15">
      <c r="A12" s="17"/>
      <c r="B12" s="518">
        <f>'Mix Report (metric)'!A15</f>
      </c>
      <c r="C12" s="519"/>
      <c r="D12" s="518">
        <f>'Mix Report (metric)'!C15</f>
      </c>
      <c r="E12" s="519"/>
      <c r="F12" s="518">
        <f>'Mix Report (metric)'!E15</f>
      </c>
      <c r="G12" s="520"/>
      <c r="H12" s="520"/>
      <c r="I12" s="521"/>
      <c r="J12" s="544">
        <f>'Mix Report (metric)'!I15</f>
      </c>
      <c r="K12" s="545">
        <f>IF(J12="","",'Mix Report (metric)'!J15)</f>
      </c>
      <c r="L12" s="546">
        <f>IF(J12="","",'Mix Report (metric)'!M15)</f>
      </c>
      <c r="M12" s="325"/>
      <c r="N12" s="325"/>
      <c r="O12" s="325"/>
    </row>
    <row r="13" spans="1:15" ht="15">
      <c r="A13" s="17"/>
      <c r="B13" s="518">
        <f>'Mix Report (metric)'!A16</f>
      </c>
      <c r="C13" s="519"/>
      <c r="D13" s="518">
        <f>'Mix Report (metric)'!C16</f>
      </c>
      <c r="E13" s="519"/>
      <c r="F13" s="518">
        <f>'Mix Report (metric)'!E16</f>
      </c>
      <c r="G13" s="520"/>
      <c r="H13" s="520"/>
      <c r="I13" s="521"/>
      <c r="J13" s="544">
        <f>'Mix Report (metric)'!I16</f>
      </c>
      <c r="K13" s="545">
        <f>IF(J13="","",'Mix Report (metric)'!J16)</f>
      </c>
      <c r="L13" s="546">
        <f>IF(J13="","",'Mix Report (metric)'!M16)</f>
      </c>
      <c r="M13" s="325"/>
      <c r="N13" s="325"/>
      <c r="O13" s="325"/>
    </row>
    <row r="14" spans="1:15" ht="15">
      <c r="A14" s="17"/>
      <c r="B14" s="518">
        <f>'Mix Report (metric)'!A17</f>
      </c>
      <c r="C14" s="519"/>
      <c r="D14" s="518">
        <f>'Mix Report (metric)'!C17</f>
      </c>
      <c r="E14" s="519"/>
      <c r="F14" s="518">
        <f>'Mix Report (metric)'!E17</f>
      </c>
      <c r="G14" s="520"/>
      <c r="H14" s="520"/>
      <c r="I14" s="521"/>
      <c r="J14" s="544">
        <f>'Mix Report (metric)'!I17</f>
      </c>
      <c r="K14" s="545">
        <f>IF(J14="","",'Mix Report (metric)'!J17)</f>
      </c>
      <c r="L14" s="546">
        <f>IF(J14="","",'Mix Report (metric)'!M17)</f>
      </c>
      <c r="M14" s="325"/>
      <c r="N14" s="325"/>
      <c r="O14" s="325"/>
    </row>
    <row r="15" spans="1:15" ht="15">
      <c r="A15" s="17"/>
      <c r="B15" s="518">
        <f>'Mix Report (metric)'!A18</f>
      </c>
      <c r="C15" s="519"/>
      <c r="D15" s="518">
        <f>'Mix Report (metric)'!C18</f>
      </c>
      <c r="E15" s="519"/>
      <c r="F15" s="518">
        <f>'Mix Report (metric)'!E18</f>
      </c>
      <c r="G15" s="520"/>
      <c r="H15" s="520"/>
      <c r="I15" s="521"/>
      <c r="J15" s="544">
        <f>'Mix Report (metric)'!I18</f>
      </c>
      <c r="K15" s="545">
        <f>IF(J15="","",'Mix Report (metric)'!J18)</f>
      </c>
      <c r="L15" s="546">
        <f>IF(J15="","",'Mix Report (metric)'!M18)</f>
      </c>
      <c r="M15" s="325"/>
      <c r="N15" s="325"/>
      <c r="O15" s="325"/>
    </row>
    <row r="16" spans="1:15" ht="15">
      <c r="A16" s="17"/>
      <c r="B16" s="511"/>
      <c r="C16" s="511"/>
      <c r="D16" s="511"/>
      <c r="E16" s="511"/>
      <c r="F16" s="511"/>
      <c r="G16" s="511"/>
      <c r="H16" s="511"/>
      <c r="I16" s="328"/>
      <c r="J16" s="513"/>
      <c r="K16" s="514"/>
      <c r="L16" s="512"/>
      <c r="M16" s="325"/>
      <c r="N16" s="325"/>
      <c r="O16" s="325"/>
    </row>
    <row r="17" spans="1:15" ht="15">
      <c r="A17" s="17"/>
      <c r="B17" s="344" t="s">
        <v>498</v>
      </c>
      <c r="C17" s="344"/>
      <c r="D17" s="344" t="s">
        <v>505</v>
      </c>
      <c r="E17" s="344"/>
      <c r="F17" s="344" t="s">
        <v>415</v>
      </c>
      <c r="G17" s="344"/>
      <c r="H17" s="344"/>
      <c r="I17" s="328"/>
      <c r="J17" s="506" t="s">
        <v>504</v>
      </c>
      <c r="K17" s="515" t="s">
        <v>506</v>
      </c>
      <c r="L17" s="524" t="s">
        <v>525</v>
      </c>
      <c r="M17" s="325"/>
      <c r="N17" s="325"/>
      <c r="O17" s="325"/>
    </row>
    <row r="18" spans="1:15" ht="16.5" customHeight="1">
      <c r="A18" s="17"/>
      <c r="B18" s="518" t="str">
        <f>'Mix Report (metric)'!A19</f>
        <v>37708M</v>
      </c>
      <c r="C18" s="519"/>
      <c r="D18" s="518" t="str">
        <f>'Mix Report (metric)'!C19</f>
        <v>555-01</v>
      </c>
      <c r="E18" s="519"/>
      <c r="F18" s="518" t="str">
        <f>'Mix Report (metric)'!E19</f>
        <v>BIG CEMENT, CO.</v>
      </c>
      <c r="G18" s="520"/>
      <c r="H18" s="522"/>
      <c r="I18" s="523"/>
      <c r="J18" s="544">
        <f>'Mix Report (metric)'!I19</f>
        <v>3.15</v>
      </c>
      <c r="K18" s="545">
        <f>IF(J18="","",'Mix Report (metric)'!J19)</f>
        <v>75</v>
      </c>
      <c r="L18" s="546">
        <f>IF(J18="","",'Mix Report (metric)'!M19)</f>
        <v>240</v>
      </c>
      <c r="M18" s="325"/>
      <c r="N18" s="325"/>
      <c r="O18" s="325"/>
    </row>
    <row r="19" spans="1:15" ht="16.5" customHeight="1">
      <c r="A19" s="17"/>
      <c r="B19" s="518" t="str">
        <f>'Mix Report (metric)'!A20</f>
        <v>37801M</v>
      </c>
      <c r="C19" s="519"/>
      <c r="D19" s="518" t="str">
        <f>'Mix Report (metric)'!C20</f>
        <v>43215-01</v>
      </c>
      <c r="E19" s="519"/>
      <c r="F19" s="518" t="str">
        <f>'Mix Report (metric)'!E20</f>
        <v>ASH MARKETERS, INC.</v>
      </c>
      <c r="G19" s="520"/>
      <c r="H19" s="522"/>
      <c r="I19" s="523"/>
      <c r="J19" s="544">
        <f>'Mix Report (metric)'!I20</f>
        <v>2.61</v>
      </c>
      <c r="K19" s="545">
        <f>IF(J19="","",'Mix Report (metric)'!J20)</f>
        <v>25</v>
      </c>
      <c r="L19" s="546">
        <f>IF(J19="","",'Mix Report (metric)'!M20)</f>
        <v>80</v>
      </c>
      <c r="M19" s="325"/>
      <c r="N19" s="325"/>
      <c r="O19" s="325"/>
    </row>
    <row r="20" spans="1:15" ht="16.5" customHeight="1">
      <c r="A20" s="17"/>
      <c r="B20" s="518">
        <f>'Mix Report (metric)'!A21</f>
      </c>
      <c r="C20" s="519"/>
      <c r="D20" s="518">
        <f>'Mix Report (metric)'!C21</f>
      </c>
      <c r="E20" s="519"/>
      <c r="F20" s="518">
        <f>'Mix Report (metric)'!E21</f>
      </c>
      <c r="G20" s="520"/>
      <c r="H20" s="522"/>
      <c r="I20" s="523"/>
      <c r="J20" s="544">
        <f>'Mix Report (metric)'!I21</f>
      </c>
      <c r="K20" s="545">
        <f>IF(J20="","",'Mix Report (metric)'!J21)</f>
      </c>
      <c r="L20" s="546">
        <f>IF(J20="","",'Mix Report (metric)'!M21)</f>
      </c>
      <c r="M20" s="325"/>
      <c r="N20" s="325"/>
      <c r="O20" s="325"/>
    </row>
    <row r="21" spans="1:15" ht="16.5" customHeight="1">
      <c r="A21" s="17"/>
      <c r="B21" s="518">
        <f>'Mix Report (metric)'!A22</f>
      </c>
      <c r="C21" s="519"/>
      <c r="D21" s="518">
        <f>'Mix Report (metric)'!C22</f>
      </c>
      <c r="E21" s="519"/>
      <c r="F21" s="518">
        <f>'Mix Report (metric)'!E22</f>
      </c>
      <c r="G21" s="520"/>
      <c r="H21" s="522"/>
      <c r="I21" s="523"/>
      <c r="J21" s="544">
        <f>'Mix Report (metric)'!I22</f>
      </c>
      <c r="K21" s="545">
        <f>IF(J21="","",'Mix Report (metric)'!J22)</f>
      </c>
      <c r="L21" s="546">
        <f>IF(J21="","",'Mix Report (metric)'!M22)</f>
      </c>
      <c r="M21" s="325"/>
      <c r="N21" s="325"/>
      <c r="O21" s="325"/>
    </row>
    <row r="22" spans="1:15" ht="15">
      <c r="A22" s="17"/>
      <c r="B22" s="325"/>
      <c r="C22" s="325"/>
      <c r="D22" s="325"/>
      <c r="E22" s="325"/>
      <c r="F22" s="325"/>
      <c r="G22" s="325"/>
      <c r="H22" s="325"/>
      <c r="I22" s="325"/>
      <c r="J22" s="325"/>
      <c r="K22" s="507" t="s">
        <v>526</v>
      </c>
      <c r="L22" s="546">
        <f>IF('Mix Report (metric)'!M26=0,"",'Mix Report (metric)'!M26)</f>
        <v>134.4</v>
      </c>
      <c r="M22" s="325"/>
      <c r="N22" s="325"/>
      <c r="O22" s="325"/>
    </row>
    <row r="23" spans="1:15" ht="15">
      <c r="A23" s="17"/>
      <c r="B23" s="325"/>
      <c r="C23" s="325"/>
      <c r="D23" s="325"/>
      <c r="E23" s="325"/>
      <c r="F23" s="325"/>
      <c r="G23" s="325"/>
      <c r="H23" s="325"/>
      <c r="I23" s="325"/>
      <c r="J23" s="325"/>
      <c r="K23" s="507" t="s">
        <v>527</v>
      </c>
      <c r="L23" s="546">
        <f>IF('Mix Report (metric)'!N24=0,"",'Mix Report (metric)'!N24)</f>
        <v>2307.8480000000004</v>
      </c>
      <c r="M23" s="325"/>
      <c r="N23" s="325"/>
      <c r="O23" s="325"/>
    </row>
    <row r="24" spans="2:15" ht="15">
      <c r="B24" s="499" t="s">
        <v>495</v>
      </c>
      <c r="C24" s="325"/>
      <c r="D24" s="327" t="str">
        <f>IF('Mix Report (metric)'!C28="","",'Mix Report (metric)'!C28)</f>
        <v>1234-05</v>
      </c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2:15" ht="15">
      <c r="B25" s="499" t="s">
        <v>496</v>
      </c>
      <c r="C25" s="325"/>
      <c r="D25" s="344" t="str">
        <f>IF('Design Info'!D20="","",'Mix Report (metric)'!G28)</f>
        <v>EVERYMAN REDI-MIX CO.</v>
      </c>
      <c r="E25" s="325"/>
      <c r="F25" s="325"/>
      <c r="G25" s="325"/>
      <c r="H25" s="325"/>
      <c r="I25" s="325"/>
      <c r="J25" s="325"/>
      <c r="K25" s="507" t="s">
        <v>528</v>
      </c>
      <c r="L25" s="547">
        <f>IF('Mix Report (metric)'!M23=0,"",ROUND('Mix Report (metric)'!M23,1))</f>
        <v>134.4</v>
      </c>
      <c r="M25" s="325"/>
      <c r="N25" s="325"/>
      <c r="O25" s="325"/>
    </row>
    <row r="26" spans="2:15" ht="15">
      <c r="B26" s="496"/>
      <c r="C26" s="509"/>
      <c r="D26" s="325"/>
      <c r="E26" s="325"/>
      <c r="F26" s="325"/>
      <c r="G26" s="325"/>
      <c r="H26" s="325"/>
      <c r="I26" s="325"/>
      <c r="J26" s="325"/>
      <c r="K26" s="496"/>
      <c r="L26" s="510"/>
      <c r="M26" s="517"/>
      <c r="N26" s="517"/>
      <c r="O26" s="517"/>
    </row>
    <row r="27" spans="2:15" ht="15">
      <c r="B27" s="499" t="s">
        <v>242</v>
      </c>
      <c r="C27" s="608" t="str">
        <f>'Mix Report (metric)'!C29</f>
        <v>ASR Mix Option 2, 25% fly ash</v>
      </c>
      <c r="D27" s="608"/>
      <c r="E27" s="608"/>
      <c r="F27" s="608"/>
      <c r="G27" s="608"/>
      <c r="H27" s="608"/>
      <c r="I27" s="608"/>
      <c r="J27" s="608"/>
      <c r="K27" s="608"/>
      <c r="L27" s="608"/>
      <c r="M27" s="517"/>
      <c r="N27" s="517"/>
      <c r="O27" s="517"/>
    </row>
    <row r="28" spans="2:12" ht="15">
      <c r="B28" s="325"/>
      <c r="C28" s="608">
        <f>'Mix Report (metric)'!C30</f>
      </c>
      <c r="D28" s="608"/>
      <c r="E28" s="608"/>
      <c r="F28" s="608"/>
      <c r="G28" s="608"/>
      <c r="H28" s="608"/>
      <c r="I28" s="608"/>
      <c r="J28" s="608"/>
      <c r="K28" s="608"/>
      <c r="L28" s="608"/>
    </row>
    <row r="29" spans="2:12" ht="15">
      <c r="B29" s="325"/>
      <c r="C29" s="325"/>
      <c r="D29" s="325"/>
      <c r="E29" s="325"/>
      <c r="F29" s="325"/>
      <c r="G29" s="325"/>
      <c r="H29" s="325"/>
      <c r="I29" s="325"/>
      <c r="J29" s="325"/>
      <c r="K29" s="325"/>
      <c r="L29" s="325"/>
    </row>
    <row r="30" spans="2:12" ht="15">
      <c r="B30" s="499" t="s">
        <v>499</v>
      </c>
      <c r="C30" s="327" t="str">
        <f>IF('Design Info'!D16="","",UPPER('Design Info'!D16))</f>
        <v>JOHN SMITH</v>
      </c>
      <c r="D30" s="325"/>
      <c r="E30" s="325"/>
      <c r="F30" s="325"/>
      <c r="G30" s="325"/>
      <c r="H30" s="325"/>
      <c r="I30" s="325"/>
      <c r="J30" s="325"/>
      <c r="K30" s="325"/>
      <c r="L30" s="325"/>
    </row>
    <row r="31" spans="2:12" ht="15">
      <c r="B31" s="508" t="s">
        <v>500</v>
      </c>
      <c r="C31" s="327" t="str">
        <f>IF('Design Info'!D17="","",'Design Info'!D17)</f>
        <v>555-555-5555</v>
      </c>
      <c r="D31" s="325"/>
      <c r="E31" s="325"/>
      <c r="F31" s="325"/>
      <c r="G31" s="325"/>
      <c r="H31" s="325"/>
      <c r="I31" s="325"/>
      <c r="J31" s="325"/>
      <c r="K31" s="325"/>
      <c r="L31" s="325"/>
    </row>
    <row r="32" spans="1:12" ht="14.25">
      <c r="A32" s="66"/>
      <c r="B32" s="508" t="s">
        <v>501</v>
      </c>
      <c r="C32" s="325" t="str">
        <f>IF('Design Info'!D18="","",'Design Info'!D18)</f>
        <v>john.smith@email.com</v>
      </c>
      <c r="D32" s="325"/>
      <c r="E32" s="325"/>
      <c r="F32" s="325"/>
      <c r="G32" s="325"/>
      <c r="H32" s="325"/>
      <c r="I32" s="325"/>
      <c r="J32" s="325"/>
      <c r="K32" s="325"/>
      <c r="L32" s="325"/>
    </row>
    <row r="33" ht="14.25">
      <c r="A33" s="67"/>
    </row>
    <row r="34" spans="1:9" ht="14.25">
      <c r="A34" s="67"/>
      <c r="B34" s="324" t="s">
        <v>530</v>
      </c>
      <c r="D34" s="324" t="s">
        <v>59</v>
      </c>
      <c r="E34" s="324" t="s">
        <v>5</v>
      </c>
      <c r="F34" s="324" t="s">
        <v>4</v>
      </c>
      <c r="I34" s="324" t="s">
        <v>54</v>
      </c>
    </row>
    <row r="35" spans="1:10" ht="14.25">
      <c r="A35" s="67"/>
      <c r="D35" s="536">
        <f>'Mix Report (metric)'!B34</f>
        <v>42000</v>
      </c>
      <c r="E35" s="535" t="str">
        <f>'Mix Report (English)'!C34</f>
        <v>AEA</v>
      </c>
      <c r="F35" s="534" t="str">
        <f>'Mix Report (English)'!D34</f>
        <v>AIR PLUS X</v>
      </c>
      <c r="G35" s="532"/>
      <c r="H35" s="530"/>
      <c r="I35" s="534">
        <f>'Mix Report (English)'!G34</f>
      </c>
      <c r="J35" s="532"/>
    </row>
    <row r="36" spans="4:10" ht="15">
      <c r="D36" s="536">
        <f>'Mix Report (metric)'!B35</f>
        <v>43000</v>
      </c>
      <c r="E36" s="535" t="str">
        <f>'Mix Report (English)'!C35</f>
        <v>A</v>
      </c>
      <c r="F36" s="534" t="str">
        <f>'Mix Report (English)'!D35</f>
        <v>WATER REDUCTO 2000</v>
      </c>
      <c r="G36" s="532"/>
      <c r="H36" s="530"/>
      <c r="I36" s="534">
        <f>'Mix Report (English)'!G35</f>
      </c>
      <c r="J36" s="533"/>
    </row>
    <row r="37" spans="4:10" ht="15">
      <c r="D37" s="536">
        <f>'Mix Report (metric)'!B36</f>
      </c>
      <c r="E37" s="535">
        <f>'Mix Report (English)'!C36</f>
      </c>
      <c r="F37" s="534">
        <f>'Mix Report (English)'!D36</f>
      </c>
      <c r="G37" s="532"/>
      <c r="H37" s="530"/>
      <c r="I37" s="534">
        <f>'Mix Report (English)'!G36</f>
      </c>
      <c r="J37" s="533"/>
    </row>
    <row r="38" spans="4:12" ht="15">
      <c r="D38" s="536">
        <f>'Mix Report (metric)'!B37</f>
      </c>
      <c r="E38" s="535">
        <f>'Mix Report (English)'!C37</f>
      </c>
      <c r="F38" s="534">
        <f>'Mix Report (English)'!D37</f>
      </c>
      <c r="G38" s="532"/>
      <c r="H38" s="530"/>
      <c r="I38" s="534">
        <f>'Mix Report (English)'!G37</f>
      </c>
      <c r="J38" s="533"/>
      <c r="L38" s="324" t="str">
        <f>'Design Info'!J1</f>
        <v>Version X1.0</v>
      </c>
    </row>
    <row r="45" ht="13.5">
      <c r="A45" s="58"/>
    </row>
  </sheetData>
  <sheetProtection password="EE35" sheet="1"/>
  <mergeCells count="5">
    <mergeCell ref="F1:H1"/>
    <mergeCell ref="D2:E2"/>
    <mergeCell ref="D3:E3"/>
    <mergeCell ref="C27:L27"/>
    <mergeCell ref="C28:L28"/>
  </mergeCells>
  <printOptions horizontalCentered="1"/>
  <pageMargins left="0.25" right="0.25" top="0.75" bottom="0.75" header="0.3" footer="0.3"/>
  <pageSetup horizontalDpi="600" verticalDpi="600"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showGridLines="0" showRowColHeaders="0" zoomScalePageLayoutView="0" workbookViewId="0" topLeftCell="A1">
      <selection activeCell="E11" sqref="E11:E12"/>
    </sheetView>
  </sheetViews>
  <sheetFormatPr defaultColWidth="8.796875" defaultRowHeight="15.75"/>
  <cols>
    <col min="1" max="1" width="3.69921875" style="1" customWidth="1"/>
    <col min="2" max="3" width="16.69921875" style="55" customWidth="1"/>
    <col min="4" max="4" width="13.59765625" style="55" customWidth="1"/>
    <col min="5" max="5" width="13.59765625" style="1" customWidth="1"/>
    <col min="6" max="6" width="2.69921875" style="1" customWidth="1"/>
    <col min="7" max="7" width="9.69921875" style="1" customWidth="1"/>
    <col min="8" max="10" width="8.8984375" style="1" customWidth="1"/>
    <col min="11" max="16384" width="8.796875" style="1" customWidth="1"/>
  </cols>
  <sheetData>
    <row r="1" spans="4:14" ht="15" customHeight="1">
      <c r="D1" s="65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4:14" ht="15" customHeight="1">
      <c r="D2" s="65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" customHeight="1">
      <c r="A3" s="424"/>
      <c r="B3" s="610" t="s">
        <v>344</v>
      </c>
      <c r="C3" s="610"/>
      <c r="D3" s="610"/>
      <c r="E3" s="610"/>
      <c r="F3" s="59"/>
      <c r="G3" s="59"/>
      <c r="H3" s="59"/>
      <c r="I3" s="59"/>
      <c r="J3" s="59"/>
      <c r="K3" s="59"/>
      <c r="L3" s="59"/>
      <c r="M3" s="59"/>
      <c r="N3" s="59"/>
    </row>
    <row r="4" spans="2:14" ht="15" customHeight="1">
      <c r="B4" s="610"/>
      <c r="C4" s="610"/>
      <c r="D4" s="610"/>
      <c r="E4" s="610"/>
      <c r="F4" s="59"/>
      <c r="G4" s="59"/>
      <c r="H4" s="59"/>
      <c r="I4" s="59"/>
      <c r="J4" s="59"/>
      <c r="K4" s="59"/>
      <c r="L4" s="59"/>
      <c r="M4" s="59"/>
      <c r="N4" s="59"/>
    </row>
    <row r="5" spans="1:14" ht="13.5" customHeight="1">
      <c r="A5" s="127"/>
      <c r="B5" s="610"/>
      <c r="C5" s="610"/>
      <c r="D5" s="610"/>
      <c r="E5" s="610"/>
      <c r="N5" s="56"/>
    </row>
    <row r="6" spans="1:14" ht="13.5" customHeight="1">
      <c r="A6" s="127"/>
      <c r="B6" s="610"/>
      <c r="C6" s="610"/>
      <c r="D6" s="610"/>
      <c r="E6" s="610"/>
      <c r="N6" s="56"/>
    </row>
    <row r="7" spans="1:14" ht="13.5" customHeight="1" thickBot="1">
      <c r="A7" s="127"/>
      <c r="B7" s="611"/>
      <c r="C7" s="611"/>
      <c r="D7" s="611"/>
      <c r="E7" s="611"/>
      <c r="N7" s="56"/>
    </row>
    <row r="8" spans="2:14" ht="13.5" customHeight="1">
      <c r="B8" s="614" t="s">
        <v>72</v>
      </c>
      <c r="C8" s="615"/>
      <c r="D8" s="61" t="s">
        <v>284</v>
      </c>
      <c r="E8" s="61" t="s">
        <v>340</v>
      </c>
      <c r="N8" s="56"/>
    </row>
    <row r="9" spans="2:5" s="56" customFormat="1" ht="13.5" customHeight="1" thickBot="1">
      <c r="B9" s="616"/>
      <c r="C9" s="617"/>
      <c r="D9" s="63" t="s">
        <v>37</v>
      </c>
      <c r="E9" s="62" t="s">
        <v>38</v>
      </c>
    </row>
    <row r="10" spans="1:17" ht="13.5" customHeight="1">
      <c r="A10" s="55"/>
      <c r="B10" s="381" t="s">
        <v>11</v>
      </c>
      <c r="C10" s="382"/>
      <c r="D10" s="383"/>
      <c r="E10" s="384"/>
      <c r="G10" s="470"/>
      <c r="H10" s="470"/>
      <c r="N10" s="60"/>
      <c r="O10" s="60"/>
      <c r="P10" s="60"/>
      <c r="Q10" s="60"/>
    </row>
    <row r="11" spans="1:17" ht="13.5" customHeight="1">
      <c r="A11" s="55"/>
      <c r="B11" s="417"/>
      <c r="C11" s="413" t="s">
        <v>7</v>
      </c>
      <c r="D11" s="432" t="s">
        <v>73</v>
      </c>
      <c r="E11" s="618"/>
      <c r="G11" s="470"/>
      <c r="H11" s="470"/>
      <c r="N11" s="60"/>
      <c r="O11" s="60"/>
      <c r="P11" s="60"/>
      <c r="Q11" s="60"/>
    </row>
    <row r="12" spans="1:17" ht="13.5" customHeight="1" thickBot="1">
      <c r="A12" s="55"/>
      <c r="B12" s="430"/>
      <c r="C12" s="431" t="s">
        <v>8</v>
      </c>
      <c r="D12" s="429" t="s">
        <v>12</v>
      </c>
      <c r="E12" s="620"/>
      <c r="G12" s="470"/>
      <c r="H12" s="470"/>
      <c r="N12" s="60"/>
      <c r="O12" s="60"/>
      <c r="P12" s="60"/>
      <c r="Q12" s="60"/>
    </row>
    <row r="13" spans="1:17" ht="13.5" customHeight="1" thickTop="1">
      <c r="A13" s="55"/>
      <c r="B13" s="385" t="s">
        <v>35</v>
      </c>
      <c r="C13" s="386"/>
      <c r="D13" s="387"/>
      <c r="E13" s="388"/>
      <c r="H13" s="436"/>
      <c r="N13" s="60"/>
      <c r="O13" s="60"/>
      <c r="P13" s="60"/>
      <c r="Q13" s="60"/>
    </row>
    <row r="14" spans="1:17" ht="13.5" customHeight="1">
      <c r="A14" s="55"/>
      <c r="B14" s="417" t="s">
        <v>26</v>
      </c>
      <c r="C14" s="413" t="s">
        <v>9</v>
      </c>
      <c r="D14" s="427" t="s">
        <v>236</v>
      </c>
      <c r="E14" s="618"/>
      <c r="G14" s="436"/>
      <c r="H14" s="436"/>
      <c r="N14" s="60"/>
      <c r="O14" s="60"/>
      <c r="P14" s="60"/>
      <c r="Q14" s="60"/>
    </row>
    <row r="15" spans="1:17" ht="13.5" customHeight="1">
      <c r="A15" s="55"/>
      <c r="B15" s="418" t="s">
        <v>285</v>
      </c>
      <c r="C15" s="413" t="s">
        <v>237</v>
      </c>
      <c r="D15" s="427" t="s">
        <v>170</v>
      </c>
      <c r="E15" s="618"/>
      <c r="G15" s="436"/>
      <c r="H15" s="436"/>
      <c r="N15" s="60"/>
      <c r="O15" s="60"/>
      <c r="P15" s="60"/>
      <c r="Q15" s="60"/>
    </row>
    <row r="16" spans="1:17" ht="13.5" customHeight="1">
      <c r="A16" s="55"/>
      <c r="B16" s="409"/>
      <c r="C16" s="410" t="s">
        <v>238</v>
      </c>
      <c r="D16" s="433" t="s">
        <v>171</v>
      </c>
      <c r="E16" s="618"/>
      <c r="G16" s="436"/>
      <c r="H16" s="436"/>
      <c r="N16" s="60"/>
      <c r="O16" s="60"/>
      <c r="P16" s="60"/>
      <c r="Q16" s="60"/>
    </row>
    <row r="17" spans="1:17" ht="13.5" customHeight="1">
      <c r="A17" s="55"/>
      <c r="B17" s="434"/>
      <c r="C17" s="415" t="s">
        <v>15</v>
      </c>
      <c r="D17" s="428" t="s">
        <v>13</v>
      </c>
      <c r="E17" s="621"/>
      <c r="G17" s="609" t="s">
        <v>390</v>
      </c>
      <c r="H17" s="609"/>
      <c r="N17" s="60"/>
      <c r="O17" s="60"/>
      <c r="P17" s="60"/>
      <c r="Q17" s="60"/>
    </row>
    <row r="18" spans="1:17" ht="13.5" customHeight="1">
      <c r="A18" s="55"/>
      <c r="B18" s="435"/>
      <c r="C18" s="413" t="s">
        <v>14</v>
      </c>
      <c r="D18" s="427" t="s">
        <v>16</v>
      </c>
      <c r="E18" s="618"/>
      <c r="G18" s="609"/>
      <c r="H18" s="609"/>
      <c r="N18" s="60"/>
      <c r="O18" s="60"/>
      <c r="P18" s="60"/>
      <c r="Q18" s="60"/>
    </row>
    <row r="19" spans="1:17" ht="13.5" customHeight="1" thickBot="1">
      <c r="A19" s="55"/>
      <c r="B19" s="435"/>
      <c r="C19" s="418" t="s">
        <v>387</v>
      </c>
      <c r="D19" s="429" t="s">
        <v>74</v>
      </c>
      <c r="E19" s="620"/>
      <c r="G19" s="609"/>
      <c r="H19" s="609"/>
      <c r="N19" s="60"/>
      <c r="O19" s="60"/>
      <c r="P19" s="60"/>
      <c r="Q19" s="60"/>
    </row>
    <row r="20" spans="1:8" ht="16.5" customHeight="1" thickTop="1">
      <c r="A20" s="55"/>
      <c r="B20" s="385" t="s">
        <v>71</v>
      </c>
      <c r="C20" s="389"/>
      <c r="D20" s="390"/>
      <c r="E20" s="391"/>
      <c r="H20" s="436"/>
    </row>
    <row r="21" spans="1:8" ht="13.5" customHeight="1">
      <c r="A21" s="55"/>
      <c r="B21" s="417"/>
      <c r="C21" s="413" t="s">
        <v>388</v>
      </c>
      <c r="D21" s="412" t="s">
        <v>73</v>
      </c>
      <c r="E21" s="395"/>
      <c r="G21" s="609" t="s">
        <v>391</v>
      </c>
      <c r="H21" s="609"/>
    </row>
    <row r="22" spans="1:8" ht="13.5" customHeight="1">
      <c r="A22" s="55"/>
      <c r="B22" s="419"/>
      <c r="C22" s="413" t="s">
        <v>70</v>
      </c>
      <c r="D22" s="414" t="s">
        <v>75</v>
      </c>
      <c r="E22" s="396"/>
      <c r="G22" s="609"/>
      <c r="H22" s="609"/>
    </row>
    <row r="23" spans="1:8" ht="13.5" customHeight="1">
      <c r="A23" s="55"/>
      <c r="B23" s="419"/>
      <c r="C23" s="413" t="s">
        <v>233</v>
      </c>
      <c r="D23" s="414" t="s">
        <v>239</v>
      </c>
      <c r="E23" s="396"/>
      <c r="G23" s="609"/>
      <c r="H23" s="609"/>
    </row>
    <row r="24" spans="1:8" ht="13.5" customHeight="1" thickBot="1">
      <c r="A24" s="55"/>
      <c r="B24" s="440"/>
      <c r="C24" s="431" t="s">
        <v>335</v>
      </c>
      <c r="D24" s="411" t="s">
        <v>236</v>
      </c>
      <c r="E24" s="397"/>
      <c r="G24" s="609"/>
      <c r="H24" s="609"/>
    </row>
    <row r="25" spans="1:5" ht="13.5" customHeight="1" thickTop="1">
      <c r="A25" s="55"/>
      <c r="B25" s="385" t="s">
        <v>10</v>
      </c>
      <c r="C25" s="386"/>
      <c r="D25" s="387"/>
      <c r="E25" s="392"/>
    </row>
    <row r="26" spans="1:5" ht="13.5" customHeight="1">
      <c r="A26" s="55"/>
      <c r="B26" s="419"/>
      <c r="C26" s="413" t="s">
        <v>286</v>
      </c>
      <c r="D26" s="612" t="s">
        <v>73</v>
      </c>
      <c r="E26" s="618"/>
    </row>
    <row r="27" spans="1:5" ht="13.5" customHeight="1">
      <c r="A27" s="55"/>
      <c r="B27" s="420"/>
      <c r="C27" s="410" t="s">
        <v>338</v>
      </c>
      <c r="D27" s="613"/>
      <c r="E27" s="618"/>
    </row>
    <row r="28" spans="1:5" ht="13.5" customHeight="1">
      <c r="A28" s="55"/>
      <c r="B28" s="421"/>
      <c r="C28" s="415" t="s">
        <v>287</v>
      </c>
      <c r="D28" s="612" t="s">
        <v>12</v>
      </c>
      <c r="E28" s="618"/>
    </row>
    <row r="29" spans="1:5" ht="13.5" customHeight="1" thickBot="1">
      <c r="A29" s="55"/>
      <c r="B29" s="422"/>
      <c r="C29" s="416" t="s">
        <v>339</v>
      </c>
      <c r="D29" s="612"/>
      <c r="E29" s="619"/>
    </row>
    <row r="30" spans="1:5" ht="13.5" customHeight="1" thickBot="1">
      <c r="A30" s="55"/>
      <c r="B30" s="393"/>
      <c r="C30" s="394"/>
      <c r="D30" s="402" t="s">
        <v>288</v>
      </c>
      <c r="E30" s="401">
        <f>IF(SUM(E11:E29)&lt;-30,-30,SUM(E10:E29))</f>
        <v>0</v>
      </c>
    </row>
    <row r="31" spans="1:5" ht="13.5" customHeight="1">
      <c r="A31" s="55"/>
      <c r="B31" s="423" t="s">
        <v>389</v>
      </c>
      <c r="C31" s="380"/>
      <c r="D31" s="380"/>
      <c r="E31" s="400" t="str">
        <f>IF(E30&lt;0,-1*E30&amp;" %",E30&amp;" %")</f>
        <v>0 %</v>
      </c>
    </row>
    <row r="32" spans="1:5" ht="15" customHeight="1" thickBot="1">
      <c r="A32" s="437"/>
      <c r="B32" s="423" t="s">
        <v>392</v>
      </c>
      <c r="C32" s="379"/>
      <c r="D32" s="379"/>
      <c r="E32" s="399">
        <f>IF(E30&lt;0,"Reduction",IF(E30&gt;0,"Addition",""))</f>
      </c>
    </row>
    <row r="33" ht="15" customHeight="1">
      <c r="A33" s="55"/>
    </row>
    <row r="34" ht="15" customHeight="1">
      <c r="A34" s="55"/>
    </row>
    <row r="35" ht="13.5" customHeight="1">
      <c r="A35" s="55"/>
    </row>
    <row r="36" ht="12.75" customHeight="1"/>
    <row r="38" ht="12.75">
      <c r="A38" s="55"/>
    </row>
    <row r="39" ht="12.75">
      <c r="A39" s="64"/>
    </row>
    <row r="40" ht="12.75">
      <c r="A40" s="64"/>
    </row>
    <row r="41" ht="12.75">
      <c r="A41" s="64"/>
    </row>
    <row r="42" ht="12.75">
      <c r="A42" s="64"/>
    </row>
    <row r="43" ht="12.75">
      <c r="A43" s="64"/>
    </row>
    <row r="44" ht="12.75">
      <c r="A44" s="64"/>
    </row>
    <row r="45" ht="12.75">
      <c r="A45" s="64"/>
    </row>
    <row r="46" ht="12.75">
      <c r="A46" s="64"/>
    </row>
    <row r="47" ht="12.75">
      <c r="A47" s="64"/>
    </row>
    <row r="48" ht="12.75">
      <c r="A48" s="64"/>
    </row>
  </sheetData>
  <sheetProtection password="EE35" sheet="1"/>
  <mergeCells count="10">
    <mergeCell ref="G21:H24"/>
    <mergeCell ref="G17:H19"/>
    <mergeCell ref="B3:E7"/>
    <mergeCell ref="D26:D27"/>
    <mergeCell ref="D28:D29"/>
    <mergeCell ref="B8:C9"/>
    <mergeCell ref="E14:E16"/>
    <mergeCell ref="E26:E29"/>
    <mergeCell ref="E11:E12"/>
    <mergeCell ref="E17:E19"/>
  </mergeCells>
  <printOptions/>
  <pageMargins left="0.75" right="0.75" top="1" bottom="1" header="0.5" footer="0.5"/>
  <pageSetup fitToHeight="1" fitToWidth="1" horizontalDpi="600" verticalDpi="600" orientation="landscape" r:id="rId1"/>
  <ignoredErrors>
    <ignoredError sqref="D24 D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IDOT PCC Mix Design</dc:title>
  <dc:subject/>
  <dc:creator>krstulovichjm</dc:creator>
  <cp:keywords/>
  <dc:description/>
  <cp:lastModifiedBy>Chapman, Shandi L.</cp:lastModifiedBy>
  <cp:lastPrinted>2019-01-03T20:51:13Z</cp:lastPrinted>
  <dcterms:created xsi:type="dcterms:W3CDTF">2001-05-08T14:19:18Z</dcterms:created>
  <dcterms:modified xsi:type="dcterms:W3CDTF">2023-06-05T18:00:26Z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