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840" yWindow="240" windowWidth="12360" windowHeight="12180" activeTab="0"/>
  </bookViews>
  <sheets>
    <sheet name="Allow H2O" sheetId="1" r:id="rId1"/>
    <sheet name="Print" sheetId="2" r:id="rId2"/>
  </sheets>
  <definedNames>
    <definedName name="drive">'Allow H2O'!$M$1</definedName>
    <definedName name="filename">'Allow H2O'!$J$10</definedName>
    <definedName name="folder">'Allow H2O'!$O$1</definedName>
    <definedName name="_xlnm.Print_Area" localSheetId="0">'Allow H2O'!$B$2:$T$38</definedName>
    <definedName name="_xlnm.Print_Area" localSheetId="1">'Print'!$A$1:$M$71</definedName>
  </definedNames>
  <calcPr fullCalcOnLoad="1"/>
</workbook>
</file>

<file path=xl/sharedStrings.xml><?xml version="1.0" encoding="utf-8"?>
<sst xmlns="http://schemas.openxmlformats.org/spreadsheetml/2006/main" count="187" uniqueCount="158">
  <si>
    <t>ILLINOIS DEPARTMENT OF TRANSPORTATION</t>
  </si>
  <si>
    <t>WATER/CEMENT RATIO WORKSHEET</t>
  </si>
  <si>
    <t>Type</t>
  </si>
  <si>
    <t>1.</t>
  </si>
  <si>
    <t>2.</t>
  </si>
  <si>
    <t>Batch Size</t>
  </si>
  <si>
    <t>FA H2O</t>
  </si>
  <si>
    <t>CA H2O</t>
  </si>
  <si>
    <t>3.</t>
  </si>
  <si>
    <t>Water in FA per Batch</t>
  </si>
  <si>
    <t>4.</t>
  </si>
  <si>
    <t>Water in CA per Batch</t>
  </si>
  <si>
    <t>Total Admixture Water:</t>
  </si>
  <si>
    <t>5.</t>
  </si>
  <si>
    <t>Water in Admixture(s) per Batch</t>
  </si>
  <si>
    <t>6.</t>
  </si>
  <si>
    <t>7.</t>
  </si>
  <si>
    <t>8.</t>
  </si>
  <si>
    <t>Total Water in Batch</t>
  </si>
  <si>
    <t>9.</t>
  </si>
  <si>
    <t>10.</t>
  </si>
  <si>
    <t>11.</t>
  </si>
  <si>
    <t>12.</t>
  </si>
  <si>
    <t>13.</t>
  </si>
  <si>
    <t>14.</t>
  </si>
  <si>
    <t>Code</t>
  </si>
  <si>
    <t>Product</t>
  </si>
  <si>
    <t>Moisture</t>
  </si>
  <si>
    <t>Units</t>
  </si>
  <si>
    <t>15.</t>
  </si>
  <si>
    <t>Adx Types</t>
  </si>
  <si>
    <t>AEA</t>
  </si>
  <si>
    <t>A</t>
  </si>
  <si>
    <t>B</t>
  </si>
  <si>
    <t>C</t>
  </si>
  <si>
    <t>D</t>
  </si>
  <si>
    <t>E</t>
  </si>
  <si>
    <t>F</t>
  </si>
  <si>
    <t>G</t>
  </si>
  <si>
    <t>FA ADJ</t>
  </si>
  <si>
    <t>CA ADJ</t>
  </si>
  <si>
    <t>Matl</t>
  </si>
  <si>
    <t>%</t>
  </si>
  <si>
    <t>Type A</t>
  </si>
  <si>
    <t>Type B</t>
  </si>
  <si>
    <t>Type C</t>
  </si>
  <si>
    <t>Water Calculation</t>
  </si>
  <si>
    <t>Slag</t>
  </si>
  <si>
    <t>Select Units of Measure:</t>
  </si>
  <si>
    <t>Maximum W/C Ratio</t>
  </si>
  <si>
    <t>Cr. Stone</t>
  </si>
  <si>
    <t>Maximum w/c ratio</t>
  </si>
  <si>
    <t>Water</t>
  </si>
  <si>
    <t>Water/Cement Ratio Worksheet</t>
  </si>
  <si>
    <r>
      <t xml:space="preserve">Date: </t>
    </r>
    <r>
      <rPr>
        <sz val="8"/>
        <rFont val="Arial"/>
        <family val="2"/>
      </rPr>
      <t>(mm/dd/yyyy)</t>
    </r>
  </si>
  <si>
    <t>Ticket No.:</t>
  </si>
  <si>
    <t>Producer No.:</t>
  </si>
  <si>
    <t>Contract No.:</t>
  </si>
  <si>
    <t>Producer Name:</t>
  </si>
  <si>
    <t>Contractor Name:</t>
  </si>
  <si>
    <t>Mix Design No.:</t>
  </si>
  <si>
    <t>Resident Engineer:</t>
  </si>
  <si>
    <r>
      <t>lb/yd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</si>
  <si>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English: (Line 1 × Line 2) ÷ 8.33</t>
  </si>
  <si>
    <t>Metric: Line 1 × Line 2</t>
  </si>
  <si>
    <r>
      <t>gal/yd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(L/m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</si>
  <si>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yd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</si>
  <si>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gal (L)</t>
  </si>
  <si>
    <r>
      <t xml:space="preserve">Where </t>
    </r>
    <r>
      <rPr>
        <i/>
        <sz val="8"/>
        <rFont val="Arial"/>
        <family val="2"/>
      </rPr>
      <t>d</t>
    </r>
    <r>
      <rPr>
        <i/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, </t>
    </r>
    <r>
      <rPr>
        <i/>
        <sz val="8"/>
        <rFont val="Arial"/>
        <family val="2"/>
      </rPr>
      <t>d</t>
    </r>
    <r>
      <rPr>
        <i/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, </t>
    </r>
    <r>
      <rPr>
        <i/>
        <sz val="8"/>
        <rFont val="Arial"/>
        <family val="2"/>
      </rPr>
      <t>d</t>
    </r>
    <r>
      <rPr>
        <i/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, etc. is the dosage rate, oz/cwt (ml/100 kg), of each admixture</t>
    </r>
  </si>
  <si>
    <t>Refer to Line 7 for calculation.</t>
  </si>
  <si>
    <t>PCC Level II:</t>
  </si>
  <si>
    <t>Inspector at Plant:</t>
  </si>
  <si>
    <r>
      <t>English: {[(%FA Moisture ÷ 100) × FA lb/yd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] × Line 4} ÷ 8.33</t>
    </r>
  </si>
  <si>
    <r>
      <t>Metric: [(%FA Moisture ÷ 100) × FA kg/m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] × Line 4</t>
    </r>
  </si>
  <si>
    <t>Moisture can be positive (+, excess water) or negative (-, short water)</t>
  </si>
  <si>
    <r>
      <t>English: {[(%CA Moisture ÷ 100) × CA lb/yd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] × Line 4} ÷ 8.33</t>
    </r>
  </si>
  <si>
    <r>
      <t>Metric: [(%CA Moisture ÷ 100) × CA kg/m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] × Line 4</t>
    </r>
  </si>
  <si>
    <t>Printed</t>
  </si>
  <si>
    <t>Level II Employer:</t>
  </si>
  <si>
    <r>
      <t>English: {[0.7(d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+ d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+ d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+ …) × (Line 1 ÷ 100)] ÷ 128} × Line 4</t>
    </r>
  </si>
  <si>
    <r>
      <t>Metric: {[0.7(d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+ d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+ d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+ …) × (Line 1 ÷ 100)] ÷ 1000} × Line 4</t>
    </r>
  </si>
  <si>
    <t>Note: 0.7 is the admixture water content factor.  Use 0.5 for latex admixtures.</t>
  </si>
  <si>
    <r>
      <t>Total Cement plus Finely Divided Minerals*, lb/yd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</si>
  <si>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Maximum water/cement ratio</t>
  </si>
  <si>
    <t>………………………………………………………</t>
  </si>
  <si>
    <t>……………………………………………………….</t>
  </si>
  <si>
    <r>
      <t>Maximum Allowable Water, gal/yd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(L/m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) </t>
    </r>
  </si>
  <si>
    <t>………………………………………..</t>
  </si>
  <si>
    <r>
      <t>Batch Size, yd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</si>
  <si>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………………………………………………………………….</t>
  </si>
  <si>
    <t>Water in Fine Aggregate per Batch, gal (L)</t>
  </si>
  <si>
    <t>……………………………………………</t>
  </si>
  <si>
    <t>…………………………………………</t>
  </si>
  <si>
    <t>………………………………………</t>
  </si>
  <si>
    <t>……………………………………….</t>
  </si>
  <si>
    <t>Water in Coarse Aggregate per Batch, gal (L)</t>
  </si>
  <si>
    <t>……………………………………</t>
  </si>
  <si>
    <t>Water in Admixtures per Batch, gal (L)</t>
  </si>
  <si>
    <t>Plant Water per Batch, gal (L)</t>
  </si>
  <si>
    <t>…………………………………………..</t>
  </si>
  <si>
    <t>Total Water in Batch, gal (L)</t>
  </si>
  <si>
    <t>………………………………………………………..</t>
  </si>
  <si>
    <t>Maximum Water Allowed per Batch, gal (L)</t>
  </si>
  <si>
    <t>Maximum Additional Water Allowed per Batch, gal (L)</t>
  </si>
  <si>
    <t>………………………….</t>
  </si>
  <si>
    <t>Water Added to Batch at Job Site, gal (L)</t>
  </si>
  <si>
    <t>Water in Admixture(s) Added to Batch at Job Site, gal (L)</t>
  </si>
  <si>
    <t>……………………..</t>
  </si>
  <si>
    <t>Total Water in Batch at Job Site, gal (L)</t>
  </si>
  <si>
    <t>…………………….</t>
  </si>
  <si>
    <r>
      <t xml:space="preserve">Date: </t>
    </r>
    <r>
      <rPr>
        <sz val="8"/>
        <rFont val="Arial"/>
        <family val="2"/>
      </rPr>
      <t>(mm/dd/yy)</t>
    </r>
  </si>
  <si>
    <t>Latex</t>
  </si>
  <si>
    <t>Water Added to Batch at Jobsite</t>
  </si>
  <si>
    <t>Drive:</t>
  </si>
  <si>
    <t>Folder:</t>
  </si>
  <si>
    <t>C:</t>
  </si>
  <si>
    <t>\Water Worksheets</t>
  </si>
  <si>
    <t>Line 3 × Line 4</t>
  </si>
  <si>
    <t>Dosage</t>
  </si>
  <si>
    <t>Ice</t>
  </si>
  <si>
    <t>Bag Weight</t>
  </si>
  <si>
    <t>No. of Bags</t>
  </si>
  <si>
    <t>S</t>
  </si>
  <si>
    <t>Water from Ice per Batch</t>
  </si>
  <si>
    <t>Added</t>
  </si>
  <si>
    <t>% Water</t>
  </si>
  <si>
    <r>
      <t>English: [(No. of Bags per yd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× Bag Weight lb/bag) ÷ 8.33] × Line 4</t>
    </r>
  </si>
  <si>
    <t>Water from Ice per Batch, gal (L)</t>
  </si>
  <si>
    <t>…………………………………………………..</t>
  </si>
  <si>
    <r>
      <t>Metric: (No. of Bags per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× Bag Mass kg/bag) × Line 4</t>
    </r>
  </si>
  <si>
    <t>* Fly Ash, Ground Granulated Blast-Furnace Slag, Microsilica, etc.</t>
  </si>
  <si>
    <t>Final w/c</t>
  </si>
  <si>
    <t>Design SSD Wt.</t>
  </si>
  <si>
    <t>Total Cementitious</t>
  </si>
  <si>
    <t>(Total at Plant Site)</t>
  </si>
  <si>
    <t>(Total at Jobsite)</t>
  </si>
  <si>
    <t>Extra Admixture Added at Jobsite</t>
  </si>
  <si>
    <t>Water in Extra Admixtures</t>
  </si>
  <si>
    <t>Theoretical Plant Water per Batch</t>
  </si>
  <si>
    <t>Plant Water per Batch</t>
  </si>
  <si>
    <t>Final Total Water in Batch</t>
  </si>
  <si>
    <t>Max Water Addition per Batch</t>
  </si>
  <si>
    <t>Max Total Water Allowed per Batch</t>
  </si>
  <si>
    <t>Step 1. Water Content Calculation Method</t>
  </si>
  <si>
    <t>Step 2. Aggregate Moisture</t>
  </si>
  <si>
    <t>Step 3. Water in Admixtures</t>
  </si>
  <si>
    <t>Inspector Employer:</t>
  </si>
  <si>
    <t>FA Water Requirements</t>
  </si>
  <si>
    <t>CA Water Requirements</t>
  </si>
  <si>
    <t>Line 11 - Line 10</t>
  </si>
  <si>
    <t>Line 10 + Line 13 + Line 14</t>
  </si>
  <si>
    <t>Design w/c ratio</t>
  </si>
  <si>
    <t>Theoretical: Design Water Requirement, gal (L) × Line 4</t>
  </si>
  <si>
    <t>Actual: Line 5 + Line 6 + Line 7 + Line 8 + Line 8</t>
  </si>
  <si>
    <t>BMPR PCCW01 (Rev. 01/01/17)</t>
  </si>
  <si>
    <t>Allowable H2O Version 2.4</t>
  </si>
  <si>
    <t>022cm11</t>
  </si>
  <si>
    <t>027fm01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</si>
</sst>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/dd/yy;@"/>
    <numFmt numFmtId="167" formatCode="0.00000"/>
    <numFmt numFmtId="168" formatCode="0.0000"/>
    <numFmt numFmtId="169" formatCode="0.000"/>
    <numFmt numFmtId="170" formatCode="0.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/d/yyyy;@"/>
    <numFmt numFmtId="176" formatCode="0.0000000000"/>
    <numFmt numFmtId="177" formatCode="0.000000000"/>
    <numFmt numFmtId="178" formatCode="0.00000000"/>
    <numFmt numFmtId="179" formatCode="0.0000000"/>
  </numFmts>
  <fonts count="5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name val="Courier New"/>
      <family val="3"/>
    </font>
    <font>
      <sz val="8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sz val="7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i/>
      <sz val="8"/>
      <name val="Arial"/>
      <family val="2"/>
    </font>
    <font>
      <i/>
      <vertAlign val="subscript"/>
      <sz val="8"/>
      <name val="Arial"/>
      <family val="2"/>
    </font>
    <font>
      <sz val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 quotePrefix="1">
      <alignment horizontal="right"/>
    </xf>
    <xf numFmtId="2" fontId="2" fillId="33" borderId="15" xfId="0" applyNumberFormat="1" applyFont="1" applyFill="1" applyBorder="1" applyAlignment="1" applyProtection="1">
      <alignment horizontal="center"/>
      <protection locked="0"/>
    </xf>
    <xf numFmtId="164" fontId="2" fillId="0" borderId="15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15" xfId="0" applyNumberFormat="1" applyFont="1" applyFill="1" applyBorder="1" applyAlignment="1" applyProtection="1">
      <alignment horizontal="center"/>
      <protection/>
    </xf>
    <xf numFmtId="164" fontId="2" fillId="0" borderId="16" xfId="0" applyNumberFormat="1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49" fontId="2" fillId="0" borderId="0" xfId="0" applyNumberFormat="1" applyFont="1" applyFill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164" fontId="2" fillId="33" borderId="15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 applyProtection="1">
      <alignment/>
      <protection locked="0"/>
    </xf>
    <xf numFmtId="0" fontId="2" fillId="0" borderId="21" xfId="0" applyFont="1" applyBorder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2" fontId="2" fillId="0" borderId="22" xfId="0" applyNumberFormat="1" applyFont="1" applyFill="1" applyBorder="1" applyAlignment="1" applyProtection="1">
      <alignment horizontal="center"/>
      <protection/>
    </xf>
    <xf numFmtId="2" fontId="2" fillId="0" borderId="23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33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quotePrefix="1">
      <alignment horizontal="right"/>
    </xf>
    <xf numFmtId="0" fontId="2" fillId="0" borderId="15" xfId="0" applyFon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6" fillId="0" borderId="25" xfId="0" applyFont="1" applyBorder="1" applyAlignment="1">
      <alignment horizontal="right"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64" fontId="2" fillId="0" borderId="28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/>
      <protection/>
    </xf>
    <xf numFmtId="0" fontId="6" fillId="0" borderId="34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 quotePrefix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164" fontId="2" fillId="0" borderId="0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2" fillId="0" borderId="15" xfId="0" applyFont="1" applyBorder="1" applyAlignment="1">
      <alignment/>
    </xf>
    <xf numFmtId="0" fontId="2" fillId="33" borderId="15" xfId="0" applyFont="1" applyFill="1" applyBorder="1" applyAlignment="1" applyProtection="1">
      <alignment/>
      <protection locked="0"/>
    </xf>
    <xf numFmtId="0" fontId="20" fillId="0" borderId="14" xfId="0" applyFont="1" applyBorder="1" applyAlignment="1">
      <alignment/>
    </xf>
    <xf numFmtId="0" fontId="6" fillId="0" borderId="36" xfId="0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/>
      <protection/>
    </xf>
    <xf numFmtId="0" fontId="0" fillId="0" borderId="30" xfId="0" applyFont="1" applyBorder="1" applyAlignment="1">
      <alignment horizontal="center"/>
    </xf>
    <xf numFmtId="0" fontId="5" fillId="0" borderId="18" xfId="0" applyFont="1" applyFill="1" applyBorder="1" applyAlignment="1" applyProtection="1">
      <alignment horizontal="center"/>
      <protection/>
    </xf>
    <xf numFmtId="0" fontId="6" fillId="0" borderId="3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5" fillId="0" borderId="19" xfId="0" applyFont="1" applyFill="1" applyBorder="1" applyAlignment="1" applyProtection="1">
      <alignment horizontal="center"/>
      <protection/>
    </xf>
    <xf numFmtId="164" fontId="2" fillId="0" borderId="39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quotePrefix="1">
      <alignment horizontal="right"/>
    </xf>
    <xf numFmtId="164" fontId="0" fillId="0" borderId="0" xfId="0" applyNumberForma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2" fillId="33" borderId="40" xfId="0" applyFont="1" applyFill="1" applyBorder="1" applyAlignment="1" applyProtection="1">
      <alignment horizontal="center"/>
      <protection locked="0"/>
    </xf>
    <xf numFmtId="0" fontId="2" fillId="33" borderId="41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1" fontId="0" fillId="0" borderId="15" xfId="0" applyNumberFormat="1" applyFont="1" applyFill="1" applyBorder="1" applyAlignment="1" applyProtection="1">
      <alignment horizontal="center"/>
      <protection/>
    </xf>
    <xf numFmtId="164" fontId="1" fillId="0" borderId="14" xfId="0" applyNumberFormat="1" applyFont="1" applyBorder="1" applyAlignment="1">
      <alignment horizontal="center"/>
    </xf>
    <xf numFmtId="164" fontId="0" fillId="0" borderId="15" xfId="0" applyNumberFormat="1" applyFont="1" applyFill="1" applyBorder="1" applyAlignment="1" applyProtection="1">
      <alignment horizontal="center"/>
      <protection/>
    </xf>
    <xf numFmtId="2" fontId="2" fillId="0" borderId="28" xfId="0" applyNumberFormat="1" applyFont="1" applyBorder="1" applyAlignment="1">
      <alignment horizontal="center"/>
    </xf>
    <xf numFmtId="0" fontId="2" fillId="33" borderId="42" xfId="0" applyFont="1" applyFill="1" applyBorder="1" applyAlignment="1" applyProtection="1">
      <alignment horizontal="center"/>
      <protection locked="0"/>
    </xf>
    <xf numFmtId="164" fontId="2" fillId="33" borderId="39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  <xf numFmtId="0" fontId="0" fillId="0" borderId="43" xfId="0" applyNumberFormat="1" applyFont="1" applyFill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0" fontId="0" fillId="0" borderId="14" xfId="0" applyFont="1" applyBorder="1" applyAlignment="1">
      <alignment horizontal="center" wrapText="1"/>
    </xf>
    <xf numFmtId="164" fontId="2" fillId="0" borderId="15" xfId="0" applyNumberFormat="1" applyFont="1" applyBorder="1" applyAlignment="1">
      <alignment horizontal="center" wrapText="1"/>
    </xf>
    <xf numFmtId="0" fontId="0" fillId="0" borderId="45" xfId="0" applyFont="1" applyBorder="1" applyAlignment="1" applyProtection="1">
      <alignment horizontal="center"/>
      <protection/>
    </xf>
    <xf numFmtId="169" fontId="0" fillId="0" borderId="15" xfId="0" applyNumberFormat="1" applyFont="1" applyFill="1" applyBorder="1" applyAlignment="1" applyProtection="1">
      <alignment horizontal="center"/>
      <protection/>
    </xf>
    <xf numFmtId="0" fontId="56" fillId="0" borderId="12" xfId="0" applyFont="1" applyBorder="1" applyAlignment="1">
      <alignment wrapText="1"/>
    </xf>
    <xf numFmtId="0" fontId="6" fillId="0" borderId="14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64" fontId="2" fillId="33" borderId="16" xfId="0" applyNumberFormat="1" applyFont="1" applyFill="1" applyBorder="1" applyAlignment="1" applyProtection="1">
      <alignment horizontal="center"/>
      <protection locked="0"/>
    </xf>
    <xf numFmtId="0" fontId="1" fillId="33" borderId="47" xfId="0" applyFont="1" applyFill="1" applyBorder="1" applyAlignment="1" applyProtection="1">
      <alignment horizontal="center"/>
      <protection locked="0"/>
    </xf>
    <xf numFmtId="0" fontId="6" fillId="34" borderId="48" xfId="0" applyNumberFormat="1" applyFont="1" applyFill="1" applyBorder="1" applyAlignment="1" applyProtection="1">
      <alignment horizontal="center"/>
      <protection/>
    </xf>
    <xf numFmtId="0" fontId="6" fillId="34" borderId="49" xfId="0" applyNumberFormat="1" applyFont="1" applyFill="1" applyBorder="1" applyAlignment="1" applyProtection="1">
      <alignment horizontal="center"/>
      <protection/>
    </xf>
    <xf numFmtId="0" fontId="6" fillId="34" borderId="50" xfId="0" applyNumberFormat="1" applyFont="1" applyFill="1" applyBorder="1" applyAlignment="1" applyProtection="1">
      <alignment horizontal="center"/>
      <protection/>
    </xf>
    <xf numFmtId="49" fontId="0" fillId="33" borderId="30" xfId="0" applyNumberFormat="1" applyFont="1" applyFill="1" applyBorder="1" applyAlignment="1" applyProtection="1">
      <alignment horizontal="center"/>
      <protection locked="0"/>
    </xf>
    <xf numFmtId="0" fontId="0" fillId="0" borderId="2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2" fillId="33" borderId="51" xfId="0" applyFont="1" applyFill="1" applyBorder="1" applyAlignment="1" applyProtection="1">
      <alignment horizontal="center"/>
      <protection locked="0"/>
    </xf>
    <xf numFmtId="0" fontId="2" fillId="33" borderId="52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2" fillId="33" borderId="41" xfId="0" applyFont="1" applyFill="1" applyBorder="1" applyAlignment="1" applyProtection="1">
      <alignment horizontal="center"/>
      <protection locked="0"/>
    </xf>
    <xf numFmtId="0" fontId="57" fillId="0" borderId="0" xfId="0" applyFont="1" applyAlignment="1">
      <alignment horizontal="center"/>
    </xf>
    <xf numFmtId="0" fontId="5" fillId="33" borderId="40" xfId="0" applyFont="1" applyFill="1" applyBorder="1" applyAlignment="1" applyProtection="1">
      <alignment horizontal="left"/>
      <protection locked="0"/>
    </xf>
    <xf numFmtId="0" fontId="5" fillId="33" borderId="56" xfId="0" applyFont="1" applyFill="1" applyBorder="1" applyAlignment="1" applyProtection="1">
      <alignment horizontal="left"/>
      <protection locked="0"/>
    </xf>
    <xf numFmtId="0" fontId="2" fillId="33" borderId="40" xfId="0" applyFont="1" applyFill="1" applyBorder="1" applyAlignment="1" applyProtection="1">
      <alignment horizontal="center"/>
      <protection locked="0"/>
    </xf>
    <xf numFmtId="0" fontId="2" fillId="33" borderId="56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58" fillId="0" borderId="57" xfId="0" applyFont="1" applyBorder="1" applyAlignment="1">
      <alignment horizontal="center"/>
    </xf>
    <xf numFmtId="49" fontId="0" fillId="33" borderId="32" xfId="0" applyNumberFormat="1" applyFont="1" applyFill="1" applyBorder="1" applyAlignment="1" applyProtection="1">
      <alignment horizontal="center"/>
      <protection locked="0"/>
    </xf>
    <xf numFmtId="0" fontId="1" fillId="0" borderId="36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2" fillId="33" borderId="40" xfId="0" applyFont="1" applyFill="1" applyBorder="1" applyAlignment="1" applyProtection="1">
      <alignment horizontal="left"/>
      <protection locked="0"/>
    </xf>
    <xf numFmtId="0" fontId="2" fillId="33" borderId="32" xfId="0" applyFont="1" applyFill="1" applyBorder="1" applyAlignment="1" applyProtection="1">
      <alignment horizontal="left"/>
      <protection locked="0"/>
    </xf>
    <xf numFmtId="0" fontId="2" fillId="33" borderId="56" xfId="0" applyFont="1" applyFill="1" applyBorder="1" applyAlignment="1" applyProtection="1">
      <alignment horizontal="left"/>
      <protection locked="0"/>
    </xf>
    <xf numFmtId="166" fontId="0" fillId="33" borderId="30" xfId="0" applyNumberFormat="1" applyFont="1" applyFill="1" applyBorder="1" applyAlignment="1" applyProtection="1">
      <alignment horizontal="center"/>
      <protection locked="0"/>
    </xf>
    <xf numFmtId="175" fontId="0" fillId="0" borderId="3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0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175" fontId="5" fillId="0" borderId="0" xfId="0" applyNumberFormat="1" applyFont="1" applyFill="1" applyAlignment="1">
      <alignment horizontal="left"/>
    </xf>
    <xf numFmtId="169" fontId="6" fillId="0" borderId="47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1</xdr:row>
      <xdr:rowOff>123825</xdr:rowOff>
    </xdr:from>
    <xdr:to>
      <xdr:col>7</xdr:col>
      <xdr:colOff>104775</xdr:colOff>
      <xdr:row>3</xdr:row>
      <xdr:rowOff>9525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23850"/>
          <a:ext cx="1552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323850</xdr:colOff>
      <xdr:row>1</xdr:row>
      <xdr:rowOff>123825</xdr:rowOff>
    </xdr:from>
    <xdr:to>
      <xdr:col>9</xdr:col>
      <xdr:colOff>514350</xdr:colOff>
      <xdr:row>3</xdr:row>
      <xdr:rowOff>9525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323850"/>
          <a:ext cx="14859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419100</xdr:colOff>
      <xdr:row>5</xdr:row>
      <xdr:rowOff>19050</xdr:rowOff>
    </xdr:from>
    <xdr:to>
      <xdr:col>3</xdr:col>
      <xdr:colOff>190500</xdr:colOff>
      <xdr:row>6</xdr:row>
      <xdr:rowOff>95250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1019175"/>
          <a:ext cx="8858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295275</xdr:colOff>
      <xdr:row>5</xdr:row>
      <xdr:rowOff>19050</xdr:rowOff>
    </xdr:from>
    <xdr:to>
      <xdr:col>5</xdr:col>
      <xdr:colOff>304800</xdr:colOff>
      <xdr:row>6</xdr:row>
      <xdr:rowOff>95250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1019175"/>
          <a:ext cx="8858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6</xdr:col>
      <xdr:colOff>76200</xdr:colOff>
      <xdr:row>4</xdr:row>
      <xdr:rowOff>9525</xdr:rowOff>
    </xdr:to>
    <xdr:pic>
      <xdr:nvPicPr>
        <xdr:cNvPr id="1" name="Picture 2" descr="DOT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400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38"/>
  <sheetViews>
    <sheetView showGridLines="0" showRowColHeaders="0" tabSelected="1" zoomScale="102" zoomScaleNormal="102" zoomScalePageLayoutView="0" workbookViewId="0" topLeftCell="A1">
      <selection activeCell="E8" sqref="E8"/>
    </sheetView>
  </sheetViews>
  <sheetFormatPr defaultColWidth="9.140625" defaultRowHeight="12.75"/>
  <cols>
    <col min="1" max="1" width="3.8515625" style="1" customWidth="1"/>
    <col min="2" max="2" width="9.7109375" style="1" customWidth="1"/>
    <col min="3" max="4" width="7.00390625" style="1" customWidth="1"/>
    <col min="5" max="5" width="13.140625" style="1" customWidth="1"/>
    <col min="6" max="6" width="13.140625" style="2" customWidth="1"/>
    <col min="7" max="7" width="1.7109375" style="2" customWidth="1"/>
    <col min="8" max="9" width="9.7109375" style="1" customWidth="1"/>
    <col min="10" max="10" width="13.7109375" style="1" customWidth="1"/>
    <col min="11" max="11" width="7.57421875" style="1" customWidth="1"/>
    <col min="12" max="13" width="10.7109375" style="1" customWidth="1"/>
    <col min="14" max="14" width="12.57421875" style="1" customWidth="1"/>
    <col min="15" max="15" width="7.57421875" style="1" customWidth="1"/>
    <col min="16" max="16" width="2.7109375" style="1" customWidth="1"/>
    <col min="17" max="17" width="9.140625" style="1" customWidth="1"/>
    <col min="18" max="18" width="11.8515625" style="1" customWidth="1"/>
    <col min="19" max="21" width="9.140625" style="1" customWidth="1"/>
    <col min="22" max="26" width="9.140625" style="1" hidden="1" customWidth="1"/>
    <col min="27" max="16384" width="9.140625" style="1" customWidth="1"/>
  </cols>
  <sheetData>
    <row r="1" spans="12:18" ht="15.75" customHeight="1">
      <c r="L1" s="8" t="s">
        <v>113</v>
      </c>
      <c r="M1" s="104" t="s">
        <v>115</v>
      </c>
      <c r="N1" s="8" t="s">
        <v>114</v>
      </c>
      <c r="O1" s="175" t="s">
        <v>116</v>
      </c>
      <c r="P1" s="176"/>
      <c r="Q1" s="176"/>
      <c r="R1" s="177"/>
    </row>
    <row r="2" spans="22:25" ht="15.75" customHeight="1" thickBot="1">
      <c r="V2" s="1" t="s">
        <v>28</v>
      </c>
      <c r="Y2" s="21" t="s">
        <v>30</v>
      </c>
    </row>
    <row r="3" spans="2:25" ht="15.75" customHeight="1" thickBot="1">
      <c r="B3" s="44" t="s">
        <v>48</v>
      </c>
      <c r="R3" s="145" t="s">
        <v>147</v>
      </c>
      <c r="S3" s="146"/>
      <c r="T3" s="147"/>
      <c r="V3" s="57" t="b">
        <v>1</v>
      </c>
      <c r="W3" s="57" t="b">
        <v>0</v>
      </c>
      <c r="Y3" s="22" t="s">
        <v>31</v>
      </c>
    </row>
    <row r="4" spans="4:26" s="38" customFormat="1" ht="15.75" customHeight="1" thickBot="1">
      <c r="D4" s="36"/>
      <c r="E4" s="36"/>
      <c r="H4" s="42"/>
      <c r="I4" s="36"/>
      <c r="R4" s="131" t="s">
        <v>43</v>
      </c>
      <c r="S4" s="68">
        <f>IF($V$3=TRUE,5.1,0.426)</f>
        <v>5.1</v>
      </c>
      <c r="T4" s="69" t="str">
        <f>IF($V$3=TRUE,"gal/cwt","L / kg")</f>
        <v>gal/cwt</v>
      </c>
      <c r="V4" s="1"/>
      <c r="W4" s="1"/>
      <c r="X4" s="1"/>
      <c r="Y4" s="22" t="s">
        <v>32</v>
      </c>
      <c r="Z4" s="1"/>
    </row>
    <row r="5" spans="1:26" s="38" customFormat="1" ht="15.75" customHeight="1" thickTop="1">
      <c r="A5" s="43"/>
      <c r="B5" s="45" t="s">
        <v>143</v>
      </c>
      <c r="C5" s="46"/>
      <c r="D5" s="47"/>
      <c r="E5" s="48"/>
      <c r="F5" s="49"/>
      <c r="G5" s="86"/>
      <c r="L5" s="3" t="s">
        <v>0</v>
      </c>
      <c r="R5" s="132" t="s">
        <v>44</v>
      </c>
      <c r="S5" s="70">
        <f>IF($V$3=TRUE,5.3,0.442)</f>
        <v>5.3</v>
      </c>
      <c r="T5" s="71" t="str">
        <f>IF($V$3=TRUE,"gal/cwt","L / kg")</f>
        <v>gal/cwt</v>
      </c>
      <c r="V5" s="1" t="s">
        <v>46</v>
      </c>
      <c r="W5" s="1"/>
      <c r="X5" s="1"/>
      <c r="Y5" s="22" t="s">
        <v>33</v>
      </c>
      <c r="Z5" s="1"/>
    </row>
    <row r="6" spans="2:26" s="38" customFormat="1" ht="15.75" customHeight="1" thickBot="1">
      <c r="B6" s="50"/>
      <c r="F6" s="51"/>
      <c r="L6" s="4" t="s">
        <v>1</v>
      </c>
      <c r="R6" s="135" t="s">
        <v>45</v>
      </c>
      <c r="S6" s="106">
        <f>IF($V$3=TRUE,5.5,0.459)</f>
        <v>5.5</v>
      </c>
      <c r="T6" s="107" t="str">
        <f>IF($V$3=TRUE,"gal/cwt","L / kg")</f>
        <v>gal/cwt</v>
      </c>
      <c r="V6" s="57" t="b">
        <v>1</v>
      </c>
      <c r="W6" s="57" t="b">
        <v>0</v>
      </c>
      <c r="X6" s="1"/>
      <c r="Y6" s="23" t="s">
        <v>34</v>
      </c>
      <c r="Z6" s="1"/>
    </row>
    <row r="7" spans="2:26" s="38" customFormat="1" ht="15.75" customHeight="1" thickBot="1">
      <c r="B7" s="50"/>
      <c r="F7" s="51"/>
      <c r="H7" s="85" t="s">
        <v>110</v>
      </c>
      <c r="I7" s="1"/>
      <c r="J7" s="178"/>
      <c r="K7" s="178"/>
      <c r="L7" s="1"/>
      <c r="M7" s="8" t="s">
        <v>55</v>
      </c>
      <c r="N7" s="148"/>
      <c r="O7" s="148"/>
      <c r="R7" s="145" t="s">
        <v>148</v>
      </c>
      <c r="S7" s="146"/>
      <c r="T7" s="147"/>
      <c r="U7" s="41"/>
      <c r="V7" s="1"/>
      <c r="W7" s="1"/>
      <c r="X7" s="1"/>
      <c r="Y7" s="23" t="s">
        <v>35</v>
      </c>
      <c r="Z7" s="1"/>
    </row>
    <row r="8" spans="2:26" s="38" customFormat="1" ht="15.75" customHeight="1">
      <c r="B8" s="50"/>
      <c r="D8" s="58" t="str">
        <f>IF(V6=TRUE,"FA Water Requirement","Enter Target W/C Ratio &gt;")</f>
        <v>FA Water Requirement</v>
      </c>
      <c r="E8" s="37">
        <v>5.3</v>
      </c>
      <c r="F8" s="60" t="str">
        <f>IF($V$6=TRUE,IF($V$3=TRUE,"gal/cwt","L / kg"),"")</f>
        <v>gal/cwt</v>
      </c>
      <c r="G8" s="40"/>
      <c r="H8" s="85" t="s">
        <v>56</v>
      </c>
      <c r="I8" s="1"/>
      <c r="J8" s="148"/>
      <c r="K8" s="148"/>
      <c r="L8" s="1"/>
      <c r="M8" s="8" t="s">
        <v>57</v>
      </c>
      <c r="N8" s="169"/>
      <c r="O8" s="169"/>
      <c r="R8" s="131" t="s">
        <v>50</v>
      </c>
      <c r="S8" s="68">
        <f>IF($V$3=TRUE,0.2,0.017)</f>
        <v>0.2</v>
      </c>
      <c r="T8" s="69" t="str">
        <f>IF($V$3=TRUE,"gal/cwt","L / kg")</f>
        <v>gal/cwt</v>
      </c>
      <c r="V8" s="1"/>
      <c r="W8" s="1"/>
      <c r="X8" s="1"/>
      <c r="Y8" s="23" t="s">
        <v>36</v>
      </c>
      <c r="Z8" s="1"/>
    </row>
    <row r="9" spans="1:26" s="38" customFormat="1" ht="15.75" customHeight="1" thickBot="1">
      <c r="A9" s="39"/>
      <c r="B9" s="52"/>
      <c r="C9" s="39"/>
      <c r="D9" s="58" t="str">
        <f>IF(V6=TRUE,"CA Water Requirement","ignore &gt;&gt;&gt;")</f>
        <v>CA Water Requirement</v>
      </c>
      <c r="E9" s="55">
        <v>0.2</v>
      </c>
      <c r="F9" s="60" t="str">
        <f>IF($V$6=TRUE,IF($V$3=TRUE,"gal/cwt","L / kg"),"")</f>
        <v>gal/cwt</v>
      </c>
      <c r="G9" s="40"/>
      <c r="H9" s="85" t="s">
        <v>58</v>
      </c>
      <c r="I9" s="1"/>
      <c r="J9" s="148"/>
      <c r="K9" s="148"/>
      <c r="L9" s="1"/>
      <c r="M9" s="8" t="s">
        <v>59</v>
      </c>
      <c r="N9" s="169"/>
      <c r="O9" s="169"/>
      <c r="R9" s="135" t="s">
        <v>47</v>
      </c>
      <c r="S9" s="72">
        <f>IF($V$3=TRUE,0.4,0.033)</f>
        <v>0.4</v>
      </c>
      <c r="T9" s="73" t="str">
        <f>IF($V$3=TRUE,"gal/cwt","L / kg")</f>
        <v>gal/cwt</v>
      </c>
      <c r="W9" s="1"/>
      <c r="X9" s="1"/>
      <c r="Y9" s="23" t="s">
        <v>37</v>
      </c>
      <c r="Z9" s="1"/>
    </row>
    <row r="10" spans="2:25" ht="15.75" customHeight="1" thickBot="1">
      <c r="B10" s="9"/>
      <c r="C10" s="10"/>
      <c r="D10" s="58" t="str">
        <f>IF(V6=TRUE,"Water Reduction","ignore &gt;&gt;&gt;")</f>
        <v>Water Reduction</v>
      </c>
      <c r="E10" s="143">
        <v>8</v>
      </c>
      <c r="F10" s="60" t="str">
        <f>IF(V6=TRUE,"%","")</f>
        <v>%</v>
      </c>
      <c r="G10" s="40"/>
      <c r="H10" s="85" t="s">
        <v>60</v>
      </c>
      <c r="J10" s="169"/>
      <c r="K10" s="169"/>
      <c r="L10" s="29"/>
      <c r="M10" s="8" t="s">
        <v>61</v>
      </c>
      <c r="N10" s="169"/>
      <c r="O10" s="169"/>
      <c r="Y10" s="24" t="s">
        <v>38</v>
      </c>
    </row>
    <row r="11" spans="2:25" ht="15.75" customHeight="1" thickBot="1" thickTop="1">
      <c r="B11" s="53"/>
      <c r="C11" s="54"/>
      <c r="D11" s="59" t="s">
        <v>49</v>
      </c>
      <c r="E11" s="144">
        <v>0.44</v>
      </c>
      <c r="F11" s="61"/>
      <c r="G11" s="87"/>
      <c r="H11" s="85" t="s">
        <v>70</v>
      </c>
      <c r="J11" s="169"/>
      <c r="K11" s="169"/>
      <c r="M11" s="8" t="s">
        <v>78</v>
      </c>
      <c r="N11" s="169"/>
      <c r="O11" s="169"/>
      <c r="R11" s="32" t="s">
        <v>133</v>
      </c>
      <c r="S11" s="32"/>
      <c r="Y11" s="103" t="s">
        <v>122</v>
      </c>
    </row>
    <row r="12" spans="8:25" ht="15.75" customHeight="1" thickBot="1" thickTop="1">
      <c r="H12" s="85" t="s">
        <v>71</v>
      </c>
      <c r="J12" s="148"/>
      <c r="K12" s="148"/>
      <c r="M12" s="8" t="s">
        <v>146</v>
      </c>
      <c r="N12" s="148"/>
      <c r="O12" s="148"/>
      <c r="R12" s="124">
        <f>E24*100</f>
        <v>600</v>
      </c>
      <c r="S12" s="32" t="str">
        <f>IF(V3=TRUE,"lb/cu yd","kg/cu m")</f>
        <v>lb/cu yd</v>
      </c>
      <c r="Y12" s="103" t="s">
        <v>111</v>
      </c>
    </row>
    <row r="13" spans="2:23" ht="15.75" customHeight="1" thickTop="1">
      <c r="B13" s="5" t="s">
        <v>144</v>
      </c>
      <c r="C13" s="33"/>
      <c r="D13" s="6"/>
      <c r="E13" s="6"/>
      <c r="F13" s="19"/>
      <c r="G13" s="88"/>
      <c r="H13" s="162">
        <f>IF(OR(E8="",C22=0),"User Must Complete Boxes on Left Side Before Entering Data Below!!!","")</f>
      </c>
      <c r="I13" s="162"/>
      <c r="J13" s="162"/>
      <c r="K13" s="162"/>
      <c r="L13" s="162"/>
      <c r="M13" s="162"/>
      <c r="N13" s="162"/>
      <c r="O13" s="162"/>
      <c r="R13" s="32" t="s">
        <v>151</v>
      </c>
      <c r="S13" s="32"/>
      <c r="W13" s="12"/>
    </row>
    <row r="14" spans="2:19" ht="15.75" customHeight="1">
      <c r="B14" s="130" t="s">
        <v>41</v>
      </c>
      <c r="C14" s="167" t="s">
        <v>132</v>
      </c>
      <c r="D14" s="167"/>
      <c r="E14" s="74" t="s">
        <v>27</v>
      </c>
      <c r="F14" s="138" t="s">
        <v>52</v>
      </c>
      <c r="G14" s="89"/>
      <c r="H14" s="13"/>
      <c r="I14" s="1" t="str">
        <f>IF(V3=TRUE,"Design Water per CU YD","Design Water per CU M")</f>
        <v>Design Water per CU YD</v>
      </c>
      <c r="N14" s="134">
        <f>IF(V6=TRUE,IF(V3=TRUE,ROUND((E8+E9)*(1-(E10/100))*E24,1),ROUND(((E8*100)+(E9*100))*(1-(E10/100))*E24,1)),IF(V3=TRUE,ROUND(E8*E24*100/8.33,1),ROUND(E8*E24*100,1)))</f>
        <v>30.4</v>
      </c>
      <c r="O14" s="1" t="str">
        <f>IF(V3=TRUE,"gal/cu yd","L/cu m")</f>
        <v>gal/cu yd</v>
      </c>
      <c r="R14" s="136">
        <f>IF(R12=0,0,IF(V3=TRUE,ROUND(N14*8.33/R12,3),ROUND(N14/R12,3)))</f>
        <v>0.422</v>
      </c>
      <c r="S14" s="32"/>
    </row>
    <row r="15" spans="2:19" ht="15.75" customHeight="1" thickBot="1">
      <c r="B15" s="110" t="s">
        <v>25</v>
      </c>
      <c r="C15" s="156" t="str">
        <f>IF(V3=TRUE,"lbs / cu yd","kg / cu m")</f>
        <v>lbs / cu yd</v>
      </c>
      <c r="D15" s="156"/>
      <c r="E15" s="108" t="s">
        <v>42</v>
      </c>
      <c r="F15" s="139" t="str">
        <f>IF(V3=TRUE,"gal / cu yd","L / cu m")</f>
        <v>gal / cu yd</v>
      </c>
      <c r="G15" s="90"/>
      <c r="H15" s="13"/>
      <c r="I15" s="85" t="str">
        <f>IF(V3=TRUE,"Maximum Design Water per CU YD","Maximum Design Water per CU M")</f>
        <v>Maximum Design Water per CU YD</v>
      </c>
      <c r="N15" s="15">
        <f>IF(V3=TRUE,ROUND(R12*R16/8.33,1),ROUND(R12*R16,1))</f>
        <v>31.7</v>
      </c>
      <c r="O15" s="1" t="str">
        <f>IF(V3=TRUE,"gal/cu yd","L/cu m")</f>
        <v>gal/cu yd</v>
      </c>
      <c r="R15" s="32" t="s">
        <v>51</v>
      </c>
      <c r="S15" s="32"/>
    </row>
    <row r="16" spans="2:18" ht="15.75" customHeight="1" thickBot="1" thickTop="1">
      <c r="B16" s="25" t="s">
        <v>156</v>
      </c>
      <c r="C16" s="165">
        <v>1811</v>
      </c>
      <c r="D16" s="166"/>
      <c r="E16" s="27">
        <v>0.5</v>
      </c>
      <c r="F16" s="34">
        <f aca="true" t="shared" si="0" ref="F16:F21">IF(B16="","",IF($V$3=TRUE,ROUND((C16*(1+(E16/100))-C16)/8.33,2),ROUND(C16*(1+(E16/100))-C16,2)))</f>
        <v>1.09</v>
      </c>
      <c r="G16" s="91"/>
      <c r="R16" s="185">
        <f>E11</f>
        <v>0.44</v>
      </c>
    </row>
    <row r="17" spans="2:26" ht="15.75" customHeight="1" thickTop="1">
      <c r="B17" s="25" t="s">
        <v>157</v>
      </c>
      <c r="C17" s="165">
        <v>1165</v>
      </c>
      <c r="D17" s="166"/>
      <c r="E17" s="27">
        <v>3.6</v>
      </c>
      <c r="F17" s="34">
        <f t="shared" si="0"/>
        <v>5.03</v>
      </c>
      <c r="G17" s="91"/>
      <c r="I17" s="1" t="s">
        <v>5</v>
      </c>
      <c r="N17" s="14">
        <v>1</v>
      </c>
      <c r="O17" s="1" t="str">
        <f>IF(V3=TRUE,"cu yd","cu m")</f>
        <v>cu yd</v>
      </c>
      <c r="S17" s="32"/>
      <c r="W17" s="32" t="s">
        <v>39</v>
      </c>
      <c r="X17" s="32" t="s">
        <v>40</v>
      </c>
      <c r="Y17" s="32" t="s">
        <v>6</v>
      </c>
      <c r="Z17" s="32" t="s">
        <v>7</v>
      </c>
    </row>
    <row r="18" spans="2:26" ht="15.75" customHeight="1">
      <c r="B18" s="25"/>
      <c r="C18" s="165"/>
      <c r="D18" s="166"/>
      <c r="E18" s="27"/>
      <c r="F18" s="34">
        <f t="shared" si="0"/>
      </c>
      <c r="G18" s="91"/>
      <c r="I18" s="1" t="s">
        <v>9</v>
      </c>
      <c r="N18" s="15">
        <f>Y24</f>
        <v>5</v>
      </c>
      <c r="O18" s="1" t="str">
        <f>IF($V$3=TRUE,"gallons","liters")</f>
        <v>gallons</v>
      </c>
      <c r="V18" s="1" t="str">
        <f aca="true" t="shared" si="1" ref="V18:V23">IF(B16="","",IF(MID(B16,4,1)="F","F","C"))</f>
        <v>C</v>
      </c>
      <c r="W18" s="16">
        <f aca="true" t="shared" si="2" ref="W18:W23">IF(V18="F",C16*(1+E16/100),0)</f>
        <v>0</v>
      </c>
      <c r="X18" s="16">
        <f aca="true" t="shared" si="3" ref="X18:X23">IF(V18="C",C16*(1+E16/100),0)</f>
        <v>1820.0549999999998</v>
      </c>
      <c r="Y18" s="16">
        <f aca="true" t="shared" si="4" ref="Y18:Y23">IF(V18="F",IF($V$3=TRUE,ROUND((W18-C16)*$N$17/8.33,1),ROUND((W18-C16)*$N$17,1)),0)</f>
        <v>0</v>
      </c>
      <c r="Z18" s="16">
        <f aca="true" t="shared" si="5" ref="Z18:Z23">IF(V18="C",IF($V$3=TRUE,ROUND((X18-C16)*$N$17/8.33,1),ROUND((X18-C16)*$N$17,1)),0)</f>
        <v>1.1</v>
      </c>
    </row>
    <row r="19" spans="2:26" ht="15.75" customHeight="1">
      <c r="B19" s="25"/>
      <c r="C19" s="165"/>
      <c r="D19" s="166"/>
      <c r="E19" s="27"/>
      <c r="F19" s="34">
        <f t="shared" si="0"/>
      </c>
      <c r="G19" s="91"/>
      <c r="H19" s="13"/>
      <c r="I19" s="1" t="s">
        <v>11</v>
      </c>
      <c r="N19" s="15">
        <f>Z24</f>
        <v>1.1</v>
      </c>
      <c r="O19" s="1" t="str">
        <f>IF($V$3=TRUE,"gallons","liters")</f>
        <v>gallons</v>
      </c>
      <c r="V19" s="1" t="str">
        <f t="shared" si="1"/>
        <v>F</v>
      </c>
      <c r="W19" s="16">
        <f t="shared" si="2"/>
        <v>1206.94</v>
      </c>
      <c r="X19" s="16">
        <f t="shared" si="3"/>
        <v>0</v>
      </c>
      <c r="Y19" s="16">
        <f t="shared" si="4"/>
        <v>5</v>
      </c>
      <c r="Z19" s="16">
        <f t="shared" si="5"/>
        <v>0</v>
      </c>
    </row>
    <row r="20" spans="2:26" ht="15.75" customHeight="1">
      <c r="B20" s="25"/>
      <c r="C20" s="165"/>
      <c r="D20" s="166"/>
      <c r="E20" s="27"/>
      <c r="F20" s="34">
        <f t="shared" si="0"/>
      </c>
      <c r="G20" s="91"/>
      <c r="H20" s="13"/>
      <c r="I20" s="1" t="s">
        <v>14</v>
      </c>
      <c r="M20" s="31"/>
      <c r="N20" s="17">
        <f>IF(V3=TRUE,ROUND((F32/128)*N17,1),ROUND(F32*N17,1))</f>
        <v>0</v>
      </c>
      <c r="O20" s="1" t="str">
        <f>IF($V$3=TRUE,"gallons","liters")</f>
        <v>gallons</v>
      </c>
      <c r="V20" s="1">
        <f t="shared" si="1"/>
      </c>
      <c r="W20" s="16">
        <f t="shared" si="2"/>
        <v>0</v>
      </c>
      <c r="X20" s="16">
        <f t="shared" si="3"/>
        <v>0</v>
      </c>
      <c r="Y20" s="16">
        <f t="shared" si="4"/>
        <v>0</v>
      </c>
      <c r="Z20" s="16">
        <f t="shared" si="5"/>
        <v>0</v>
      </c>
    </row>
    <row r="21" spans="2:26" ht="15.75" customHeight="1" thickBot="1">
      <c r="B21" s="26"/>
      <c r="C21" s="161"/>
      <c r="D21" s="152"/>
      <c r="E21" s="129"/>
      <c r="F21" s="35">
        <f t="shared" si="0"/>
      </c>
      <c r="G21" s="91"/>
      <c r="H21" s="13"/>
      <c r="I21" s="1" t="s">
        <v>123</v>
      </c>
      <c r="N21" s="17">
        <f>IF(V3=TRUE,ROUND(F38*N17,1),ROUND(F38*N17,1))</f>
        <v>0</v>
      </c>
      <c r="O21" s="1" t="str">
        <f>IF($V$3=TRUE,"gallons","liters")</f>
        <v>gallons</v>
      </c>
      <c r="V21" s="1">
        <f t="shared" si="1"/>
      </c>
      <c r="W21" s="16">
        <f t="shared" si="2"/>
        <v>0</v>
      </c>
      <c r="X21" s="16">
        <f t="shared" si="3"/>
        <v>0</v>
      </c>
      <c r="Y21" s="16">
        <f t="shared" si="4"/>
        <v>0</v>
      </c>
      <c r="Z21" s="16">
        <f t="shared" si="5"/>
        <v>0</v>
      </c>
    </row>
    <row r="22" spans="3:26" ht="15.75" customHeight="1" thickBot="1" thickTop="1">
      <c r="C22" s="168">
        <f>SUM(C16:D21)</f>
        <v>2976</v>
      </c>
      <c r="D22" s="168"/>
      <c r="H22" s="13"/>
      <c r="R22" s="32" t="s">
        <v>138</v>
      </c>
      <c r="S22" s="32"/>
      <c r="V22" s="1">
        <f t="shared" si="1"/>
      </c>
      <c r="W22" s="16">
        <f t="shared" si="2"/>
        <v>0</v>
      </c>
      <c r="X22" s="16">
        <f t="shared" si="3"/>
        <v>0</v>
      </c>
      <c r="Y22" s="16">
        <f t="shared" si="4"/>
        <v>0</v>
      </c>
      <c r="Z22" s="16">
        <f t="shared" si="5"/>
        <v>0</v>
      </c>
    </row>
    <row r="23" spans="2:26" ht="15.75" customHeight="1" thickTop="1">
      <c r="B23" s="5" t="s">
        <v>145</v>
      </c>
      <c r="C23" s="33"/>
      <c r="D23" s="6"/>
      <c r="E23" s="6"/>
      <c r="F23" s="137">
        <f>IF(E24&gt;100,"Note Units","")</f>
      </c>
      <c r="G23" s="10"/>
      <c r="H23" s="13"/>
      <c r="I23" s="1" t="s">
        <v>139</v>
      </c>
      <c r="N23" s="27">
        <v>24.3</v>
      </c>
      <c r="O23" s="1" t="str">
        <f>IF($V$3=TRUE,"gallons","liters")</f>
        <v>gallons</v>
      </c>
      <c r="R23" s="65">
        <f>N14*N17-(N18+N19+N20+N21)</f>
        <v>24.299999999999997</v>
      </c>
      <c r="S23" s="32" t="str">
        <f>IF($V$3=TRUE,"gallons per batch","liters per batch")</f>
        <v>gallons per batch</v>
      </c>
      <c r="V23" s="1">
        <f t="shared" si="1"/>
      </c>
      <c r="W23" s="16">
        <f t="shared" si="2"/>
        <v>0</v>
      </c>
      <c r="X23" s="16">
        <f t="shared" si="3"/>
        <v>0</v>
      </c>
      <c r="Y23" s="16">
        <f t="shared" si="4"/>
        <v>0</v>
      </c>
      <c r="Z23" s="16">
        <f t="shared" si="5"/>
        <v>0</v>
      </c>
    </row>
    <row r="24" spans="2:26" ht="15.75" customHeight="1">
      <c r="B24" s="9"/>
      <c r="C24" s="10"/>
      <c r="D24" s="122" t="s">
        <v>133</v>
      </c>
      <c r="E24" s="14">
        <v>6</v>
      </c>
      <c r="F24" s="105" t="str">
        <f>IF(V3=TRUE,"cwt/cu yd","100 kg/cu m")</f>
        <v>cwt/cu yd</v>
      </c>
      <c r="G24" s="10"/>
      <c r="H24" s="13"/>
      <c r="I24" s="1" t="s">
        <v>18</v>
      </c>
      <c r="M24" s="56" t="s">
        <v>134</v>
      </c>
      <c r="N24" s="15">
        <f>SUM(N18:N21,N23)</f>
        <v>30.4</v>
      </c>
      <c r="O24" s="1" t="str">
        <f>IF($V$3=TRUE,"gallons","liters")</f>
        <v>gallons</v>
      </c>
      <c r="Y24" s="16">
        <f>SUM(Y18:Y23)</f>
        <v>5</v>
      </c>
      <c r="Z24" s="16">
        <f>SUM(Z18:Z23)</f>
        <v>1.1</v>
      </c>
    </row>
    <row r="25" spans="2:18" ht="15.75" customHeight="1" thickBot="1">
      <c r="B25" s="9"/>
      <c r="C25" s="10"/>
      <c r="D25" s="10"/>
      <c r="E25" s="74"/>
      <c r="F25" s="123"/>
      <c r="G25" s="92"/>
      <c r="R25" s="121" t="s">
        <v>142</v>
      </c>
    </row>
    <row r="26" spans="2:19" ht="15.75" customHeight="1" thickBot="1" thickTop="1">
      <c r="B26" s="9"/>
      <c r="C26" s="10"/>
      <c r="D26" s="10"/>
      <c r="E26" s="74" t="s">
        <v>118</v>
      </c>
      <c r="F26" s="123" t="s">
        <v>125</v>
      </c>
      <c r="G26" s="10"/>
      <c r="M26" s="140" t="s">
        <v>141</v>
      </c>
      <c r="N26" s="64">
        <f>R26-N24</f>
        <v>1.3000000000000007</v>
      </c>
      <c r="O26" s="1" t="str">
        <f>IF($V$3=TRUE,"gallons","liters")</f>
        <v>gallons</v>
      </c>
      <c r="R26" s="65">
        <f>N15*N17</f>
        <v>31.7</v>
      </c>
      <c r="S26" s="32" t="str">
        <f>IF($V$3=TRUE,"gallons per batch","liters per batch")</f>
        <v>gallons per batch</v>
      </c>
    </row>
    <row r="27" spans="2:8" ht="15.75" customHeight="1" thickTop="1">
      <c r="B27" s="110" t="s">
        <v>2</v>
      </c>
      <c r="C27" s="174" t="s">
        <v>26</v>
      </c>
      <c r="D27" s="174"/>
      <c r="E27" s="93" t="str">
        <f>IF(V3=TRUE,"oz / cwt","ml / 100 kg")</f>
        <v>oz / cwt</v>
      </c>
      <c r="F27" s="133" t="str">
        <f>IF(V3=TRUE,"oz / oz","ml / ml")</f>
        <v>oz / oz</v>
      </c>
      <c r="G27" s="74"/>
      <c r="H27" s="13"/>
    </row>
    <row r="28" spans="2:18" ht="15.75" customHeight="1">
      <c r="B28" s="25"/>
      <c r="C28" s="163"/>
      <c r="D28" s="164"/>
      <c r="E28" s="27"/>
      <c r="F28" s="67">
        <f>IF(AND(B28="",E28&lt;&gt;""),"enter type",IF(B28="",0,IF(B28="Latex",0.5,0.7)))</f>
        <v>0</v>
      </c>
      <c r="G28" s="93"/>
      <c r="H28" s="13"/>
      <c r="I28" s="1" t="s">
        <v>112</v>
      </c>
      <c r="N28" s="27">
        <v>1.3</v>
      </c>
      <c r="O28" s="1" t="str">
        <f>IF($V$3=TRUE,"gallons","liters")</f>
        <v>gallons</v>
      </c>
      <c r="R28" s="32" t="s">
        <v>137</v>
      </c>
    </row>
    <row r="29" spans="2:19" ht="15.75" customHeight="1" thickBot="1">
      <c r="B29" s="25"/>
      <c r="C29" s="163"/>
      <c r="D29" s="164"/>
      <c r="E29" s="27"/>
      <c r="F29" s="67">
        <f>IF(AND(B29="",E29&lt;&gt;""),"enter type",IF(B29="",0,IF(B29="Latex",0.5,0.7)))</f>
        <v>0</v>
      </c>
      <c r="G29" s="93"/>
      <c r="H29" s="13"/>
      <c r="I29" s="1" t="s">
        <v>140</v>
      </c>
      <c r="M29" s="56" t="s">
        <v>135</v>
      </c>
      <c r="N29" s="18">
        <f>N24+N28+R29</f>
        <v>31.7</v>
      </c>
      <c r="O29" s="1" t="str">
        <f>IF($V$3=TRUE,"gallons","liters")</f>
        <v>gallons</v>
      </c>
      <c r="R29" s="126">
        <f>IF(V3=TRUE,ROUND(L36/128,1),L36)</f>
        <v>0</v>
      </c>
      <c r="S29" s="32" t="str">
        <f>IF($V$3=TRUE,"gallons per batch","liters per batch")</f>
        <v>gallons per batch</v>
      </c>
    </row>
    <row r="30" spans="2:14" ht="15.75" customHeight="1" thickBot="1" thickTop="1">
      <c r="B30" s="25"/>
      <c r="C30" s="163"/>
      <c r="D30" s="164"/>
      <c r="E30" s="27"/>
      <c r="F30" s="67">
        <f>IF(AND(B30="",E30&lt;&gt;""),"enter type",IF(B30="",0,IF(B30="Latex",0.5,0.7)))</f>
        <v>0</v>
      </c>
      <c r="G30" s="94"/>
      <c r="M30" s="4" t="s">
        <v>131</v>
      </c>
      <c r="N30" s="127">
        <f>IF(R12=0,0,IF(N23="","",IF(V3=TRUE,ROUND(N29*8.33/N17/R12,3),ROUND(N29/N17/R12,3))))</f>
        <v>0.44</v>
      </c>
    </row>
    <row r="31" spans="2:12" ht="15.75" customHeight="1" thickTop="1">
      <c r="B31" s="25"/>
      <c r="C31" s="163"/>
      <c r="D31" s="164"/>
      <c r="E31" s="27"/>
      <c r="F31" s="67">
        <f>IF(AND(B31="",E31&lt;&gt;""),"enter type",IF(B31="",0,IF(B31="Latex",0.5,0.7)))</f>
        <v>0</v>
      </c>
      <c r="G31" s="94"/>
      <c r="H31" s="5" t="s">
        <v>136</v>
      </c>
      <c r="I31" s="33"/>
      <c r="J31" s="6"/>
      <c r="K31" s="6"/>
      <c r="L31" s="7"/>
    </row>
    <row r="32" spans="2:12" ht="15.75" customHeight="1">
      <c r="B32" s="30"/>
      <c r="C32" s="170" t="s">
        <v>12</v>
      </c>
      <c r="D32" s="170"/>
      <c r="E32" s="171"/>
      <c r="F32" s="28">
        <f>IF(V3=TRUE,ROUND(E28*F28+E29*F29+E30*F30+E31*F31,2),ROUND((E28*F28+E29*F29+E30*F30+E31*F31)/1000,2))*E24</f>
        <v>0</v>
      </c>
      <c r="G32" s="94"/>
      <c r="H32" s="9"/>
      <c r="I32" s="10"/>
      <c r="J32" s="10"/>
      <c r="K32" s="10"/>
      <c r="L32" s="11"/>
    </row>
    <row r="33" spans="2:12" ht="15.75" customHeight="1" thickBot="1">
      <c r="B33" s="53"/>
      <c r="C33" s="172"/>
      <c r="D33" s="172"/>
      <c r="E33" s="173"/>
      <c r="F33" s="66" t="str">
        <f>IF(V3=TRUE,"oz per cu yd","L per cu m")</f>
        <v>oz per cu yd</v>
      </c>
      <c r="G33" s="94"/>
      <c r="H33" s="9"/>
      <c r="I33" s="74" t="s">
        <v>124</v>
      </c>
      <c r="J33" s="74" t="s">
        <v>42</v>
      </c>
      <c r="K33" s="112" t="s">
        <v>52</v>
      </c>
      <c r="L33" s="11"/>
    </row>
    <row r="34" spans="7:12" ht="15.75" customHeight="1" thickBot="1" thickTop="1">
      <c r="G34" s="95"/>
      <c r="H34" s="110" t="s">
        <v>2</v>
      </c>
      <c r="I34" s="108" t="str">
        <f>IF(V3=TRUE,"oz","L")</f>
        <v>oz</v>
      </c>
      <c r="J34" s="111" t="s">
        <v>52</v>
      </c>
      <c r="K34" s="113" t="s">
        <v>124</v>
      </c>
      <c r="L34" s="11"/>
    </row>
    <row r="35" spans="2:12" ht="15.75" customHeight="1" thickTop="1">
      <c r="B35" s="5" t="s">
        <v>119</v>
      </c>
      <c r="C35" s="33"/>
      <c r="D35" s="6"/>
      <c r="E35" s="6"/>
      <c r="F35" s="19"/>
      <c r="G35" s="96"/>
      <c r="H35" s="109">
        <f>IF(B28="","",B28)</f>
      </c>
      <c r="I35" s="128"/>
      <c r="J35" s="17">
        <f>IF(AND(H35="",I35&lt;&gt;""),"enter type",IF(H35="",0,IF(H35="Latex",0.5,0.7)))</f>
        <v>0</v>
      </c>
      <c r="K35" s="17">
        <f>IF(I35="","",I35*J35)</f>
      </c>
      <c r="L35" s="11"/>
    </row>
    <row r="36" spans="2:12" ht="15.75" customHeight="1">
      <c r="B36" s="153" t="s">
        <v>121</v>
      </c>
      <c r="C36" s="154"/>
      <c r="D36" s="157" t="s">
        <v>120</v>
      </c>
      <c r="E36" s="158"/>
      <c r="F36" s="62" t="s">
        <v>52</v>
      </c>
      <c r="H36" s="109">
        <f>IF(B29="","",B29)</f>
      </c>
      <c r="I36" s="119"/>
      <c r="J36" s="17">
        <f>IF(AND(H36="",I36&lt;&gt;""),"enter type",IF(H36="",0,IF(H36="Latex",0.5,0.7)))</f>
        <v>0</v>
      </c>
      <c r="K36" s="17">
        <f>IF(I36="","",I36*J36)</f>
      </c>
      <c r="L36" s="125">
        <f>ROUND(SUM(K35:K38),2)*N17</f>
        <v>0</v>
      </c>
    </row>
    <row r="37" spans="2:12" ht="15.75" customHeight="1">
      <c r="B37" s="155" t="str">
        <f>IF(V3=TRUE,"per CU YD","per CU M")</f>
        <v>per CU YD</v>
      </c>
      <c r="C37" s="156"/>
      <c r="D37" s="159" t="str">
        <f>IF(V3=TRUE,"lbs / bag","kg / bag")</f>
        <v>lbs / bag</v>
      </c>
      <c r="E37" s="160"/>
      <c r="F37" s="20" t="str">
        <f>IF(V3=TRUE,"gal / cu yd","L / cu m")</f>
        <v>gal / cu yd</v>
      </c>
      <c r="H37" s="109">
        <f>IF(B30="","",B30)</f>
      </c>
      <c r="I37" s="119"/>
      <c r="J37" s="17">
        <f>IF(AND(H37="",I37&lt;&gt;""),"enter type",IF(H37="",0,IF(H37="Latex",0.5,0.7)))</f>
        <v>0</v>
      </c>
      <c r="K37" s="17">
        <f>IF(I37="","",I37*J37)</f>
      </c>
      <c r="L37" s="149" t="str">
        <f>IF($V$3=TRUE,"oz per batch","L per batch")</f>
        <v>oz per batch</v>
      </c>
    </row>
    <row r="38" spans="2:20" ht="15.75" customHeight="1" thickBot="1">
      <c r="B38" s="151"/>
      <c r="C38" s="152"/>
      <c r="D38" s="161"/>
      <c r="E38" s="152"/>
      <c r="F38" s="35">
        <f>IF(B38="",0,IF($V$3=TRUE,ROUND((B38*D38)/8.33,2),ROUND(B38*D38,2)))</f>
        <v>0</v>
      </c>
      <c r="H38" s="114">
        <f>IF(B31="","",B31)</f>
      </c>
      <c r="I38" s="120"/>
      <c r="J38" s="115">
        <f>IF(AND(H38="",I38&lt;&gt;""),"enter type",IF(H38="",0,IF(H38="Latex",0.5,0.7)))</f>
        <v>0</v>
      </c>
      <c r="K38" s="115">
        <f>IF(I38="","",I38*J38)</f>
      </c>
      <c r="L38" s="150"/>
      <c r="T38" s="63" t="s">
        <v>155</v>
      </c>
    </row>
    <row r="39" ht="15.75" customHeight="1" thickTop="1"/>
    <row r="40" ht="15.75" customHeight="1"/>
    <row r="46" ht="15" customHeight="1"/>
    <row r="47" ht="15.75" customHeight="1"/>
  </sheetData>
  <sheetProtection password="A637" sheet="1"/>
  <mergeCells count="38">
    <mergeCell ref="O1:R1"/>
    <mergeCell ref="J7:K7"/>
    <mergeCell ref="N7:O7"/>
    <mergeCell ref="J11:K11"/>
    <mergeCell ref="N11:O11"/>
    <mergeCell ref="J9:K9"/>
    <mergeCell ref="J8:K8"/>
    <mergeCell ref="N8:O8"/>
    <mergeCell ref="J10:K10"/>
    <mergeCell ref="N9:O9"/>
    <mergeCell ref="N10:O10"/>
    <mergeCell ref="C32:E33"/>
    <mergeCell ref="C29:D29"/>
    <mergeCell ref="C30:D30"/>
    <mergeCell ref="C19:D19"/>
    <mergeCell ref="C27:D27"/>
    <mergeCell ref="C28:D28"/>
    <mergeCell ref="C21:D21"/>
    <mergeCell ref="D38:E38"/>
    <mergeCell ref="H13:O13"/>
    <mergeCell ref="C31:D31"/>
    <mergeCell ref="C16:D16"/>
    <mergeCell ref="C15:D15"/>
    <mergeCell ref="C14:D14"/>
    <mergeCell ref="C17:D17"/>
    <mergeCell ref="C20:D20"/>
    <mergeCell ref="C18:D18"/>
    <mergeCell ref="C22:D22"/>
    <mergeCell ref="R3:T3"/>
    <mergeCell ref="R7:T7"/>
    <mergeCell ref="J12:K12"/>
    <mergeCell ref="N12:O12"/>
    <mergeCell ref="L37:L38"/>
    <mergeCell ref="B38:C38"/>
    <mergeCell ref="B36:C36"/>
    <mergeCell ref="B37:C37"/>
    <mergeCell ref="D36:E36"/>
    <mergeCell ref="D37:E37"/>
  </mergeCells>
  <conditionalFormatting sqref="B5 J4">
    <cfRule type="cellIs" priority="1" dxfId="0" operator="equal" stopIfTrue="1">
      <formula>"Select w/c Ratio Method:"</formula>
    </cfRule>
  </conditionalFormatting>
  <dataValidations count="1">
    <dataValidation type="list" allowBlank="1" showInputMessage="1" showErrorMessage="1" sqref="B28:B31">
      <formula1>$Y$3:$Y$12</formula1>
    </dataValidation>
  </dataValidations>
  <printOptions/>
  <pageMargins left="0.5" right="0.5" top="1" bottom="1" header="0.5" footer="0.5"/>
  <pageSetup blackAndWhite="1" horizontalDpi="600" verticalDpi="600" orientation="landscape" scale="7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72"/>
  <sheetViews>
    <sheetView showGridLines="0" showRowColHeaders="0" zoomScalePageLayoutView="0" workbookViewId="0" topLeftCell="A1">
      <selection activeCell="K19" sqref="K19:L19"/>
    </sheetView>
  </sheetViews>
  <sheetFormatPr defaultColWidth="9.140625" defaultRowHeight="12.75"/>
  <cols>
    <col min="1" max="1" width="3.7109375" style="75" customWidth="1"/>
    <col min="2" max="2" width="1.7109375" style="75" customWidth="1"/>
    <col min="3" max="3" width="2.140625" style="75" customWidth="1"/>
    <col min="4" max="6" width="9.140625" style="75" customWidth="1"/>
    <col min="7" max="7" width="12.140625" style="75" customWidth="1"/>
    <col min="8" max="8" width="4.7109375" style="75" customWidth="1"/>
    <col min="9" max="12" width="9.140625" style="75" customWidth="1"/>
    <col min="13" max="13" width="12.140625" style="75" customWidth="1"/>
    <col min="14" max="16384" width="9.140625" style="75" customWidth="1"/>
  </cols>
  <sheetData>
    <row r="1" spans="3:13" ht="12.75" customHeight="1">
      <c r="C1" s="180"/>
      <c r="D1" s="180"/>
      <c r="E1" s="180"/>
      <c r="F1" s="180"/>
      <c r="G1" s="180"/>
      <c r="J1" s="98"/>
      <c r="K1" s="98"/>
      <c r="L1" s="98"/>
      <c r="M1" s="98"/>
    </row>
    <row r="2" spans="3:13" ht="12.75" customHeight="1">
      <c r="C2" s="180"/>
      <c r="D2" s="180"/>
      <c r="E2" s="180"/>
      <c r="F2" s="180"/>
      <c r="G2" s="180"/>
      <c r="I2" s="98"/>
      <c r="J2" s="98"/>
      <c r="K2" s="98"/>
      <c r="L2" s="98"/>
      <c r="M2" s="98"/>
    </row>
    <row r="3" spans="3:13" ht="14.25" customHeight="1">
      <c r="C3" s="180"/>
      <c r="D3" s="180"/>
      <c r="E3" s="180"/>
      <c r="F3" s="180"/>
      <c r="G3" s="180"/>
      <c r="I3" s="98"/>
      <c r="J3" s="98" t="s">
        <v>53</v>
      </c>
      <c r="K3" s="98"/>
      <c r="L3" s="98"/>
      <c r="M3" s="98"/>
    </row>
    <row r="4" spans="3:13" ht="12" customHeight="1">
      <c r="C4" s="180"/>
      <c r="D4" s="180"/>
      <c r="E4" s="180"/>
      <c r="F4" s="180"/>
      <c r="G4" s="180"/>
      <c r="I4" s="98"/>
      <c r="J4" s="98"/>
      <c r="K4" s="98"/>
      <c r="L4" s="98"/>
      <c r="M4" s="98"/>
    </row>
    <row r="5" spans="3:13" ht="12" customHeight="1">
      <c r="C5" s="79"/>
      <c r="D5" s="79"/>
      <c r="E5" s="79"/>
      <c r="F5" s="79"/>
      <c r="G5" s="79"/>
      <c r="I5" s="99"/>
      <c r="J5" s="99"/>
      <c r="K5" s="99"/>
      <c r="L5" s="99"/>
      <c r="M5" s="99"/>
    </row>
    <row r="6" spans="1:13" ht="14.25" customHeight="1">
      <c r="A6" s="76" t="s">
        <v>54</v>
      </c>
      <c r="B6" s="76"/>
      <c r="C6" s="76"/>
      <c r="D6" s="76"/>
      <c r="E6" s="179">
        <f>IF('Allow H2O'!J7="","",'Allow H2O'!J7)</f>
      </c>
      <c r="F6" s="179"/>
      <c r="G6" s="179"/>
      <c r="J6" s="77" t="s">
        <v>55</v>
      </c>
      <c r="K6" s="179">
        <f>IF('Allow H2O'!N7="","",'Allow H2O'!N7)</f>
      </c>
      <c r="L6" s="179"/>
      <c r="M6" s="179"/>
    </row>
    <row r="7" spans="3:6" ht="6" customHeight="1">
      <c r="C7" s="76"/>
      <c r="D7" s="76"/>
      <c r="E7" s="77"/>
      <c r="F7" s="76"/>
    </row>
    <row r="8" spans="1:13" ht="14.25" customHeight="1">
      <c r="A8" s="76" t="s">
        <v>56</v>
      </c>
      <c r="B8" s="76"/>
      <c r="E8" s="179">
        <f>IF('Allow H2O'!J8="","",'Allow H2O'!J8)</f>
      </c>
      <c r="F8" s="179"/>
      <c r="G8" s="179"/>
      <c r="J8" s="77" t="s">
        <v>57</v>
      </c>
      <c r="K8" s="179">
        <f>IF('Allow H2O'!N8="","",'Allow H2O'!N8)</f>
      </c>
      <c r="L8" s="179"/>
      <c r="M8" s="179"/>
    </row>
    <row r="9" spans="3:9" ht="6" customHeight="1">
      <c r="C9" s="76"/>
      <c r="D9" s="76"/>
      <c r="F9" s="76"/>
      <c r="I9" s="77"/>
    </row>
    <row r="10" spans="1:13" ht="14.25" customHeight="1">
      <c r="A10" s="76" t="s">
        <v>58</v>
      </c>
      <c r="B10" s="76"/>
      <c r="E10" s="179">
        <f>IF('Allow H2O'!J9="","",'Allow H2O'!J9)</f>
      </c>
      <c r="F10" s="179"/>
      <c r="G10" s="179"/>
      <c r="J10" s="77" t="s">
        <v>59</v>
      </c>
      <c r="K10" s="179">
        <f>IF('Allow H2O'!N9="","",'Allow H2O'!N9)</f>
      </c>
      <c r="L10" s="179"/>
      <c r="M10" s="179"/>
    </row>
    <row r="11" spans="3:9" ht="6" customHeight="1">
      <c r="C11" s="76"/>
      <c r="D11" s="76"/>
      <c r="F11" s="76"/>
      <c r="I11" s="77"/>
    </row>
    <row r="12" spans="1:13" ht="14.25" customHeight="1">
      <c r="A12" s="76" t="s">
        <v>60</v>
      </c>
      <c r="B12" s="76"/>
      <c r="E12" s="179">
        <f>IF('Allow H2O'!J10="","",'Allow H2O'!J10)</f>
      </c>
      <c r="F12" s="179"/>
      <c r="G12" s="179"/>
      <c r="J12" s="77" t="s">
        <v>61</v>
      </c>
      <c r="K12" s="179">
        <f>IF('Allow H2O'!N10="","",'Allow H2O'!N10)</f>
      </c>
      <c r="L12" s="179"/>
      <c r="M12" s="179"/>
    </row>
    <row r="13" spans="3:9" ht="6" customHeight="1">
      <c r="C13" s="76"/>
      <c r="D13" s="76"/>
      <c r="F13" s="76"/>
      <c r="I13" s="77"/>
    </row>
    <row r="14" spans="1:13" ht="14.25" customHeight="1">
      <c r="A14" s="76" t="s">
        <v>70</v>
      </c>
      <c r="C14" s="76"/>
      <c r="D14" s="76"/>
      <c r="E14" s="179">
        <f>IF('Allow H2O'!J11="","",'Allow H2O'!J11)</f>
      </c>
      <c r="F14" s="179"/>
      <c r="G14" s="179"/>
      <c r="J14" s="102" t="s">
        <v>78</v>
      </c>
      <c r="K14" s="179">
        <f>IF('Allow H2O'!N11="","",'Allow H2O'!N11)</f>
      </c>
      <c r="L14" s="179"/>
      <c r="M14" s="179"/>
    </row>
    <row r="15" spans="1:13" ht="6" customHeight="1">
      <c r="A15" s="76"/>
      <c r="C15" s="76"/>
      <c r="D15" s="76"/>
      <c r="E15" s="82"/>
      <c r="F15" s="82"/>
      <c r="G15" s="82"/>
      <c r="K15" s="82"/>
      <c r="L15" s="82"/>
      <c r="M15" s="82"/>
    </row>
    <row r="16" spans="1:13" ht="12" customHeight="1">
      <c r="A16" s="81" t="s">
        <v>71</v>
      </c>
      <c r="E16" s="179">
        <f>IF('Allow H2O'!J12="","",'Allow H2O'!J12)</f>
      </c>
      <c r="F16" s="179"/>
      <c r="G16" s="179"/>
      <c r="J16" s="77" t="s">
        <v>146</v>
      </c>
      <c r="K16" s="179">
        <f>IF('Allow H2O'!N12="","",'Allow H2O'!N12)</f>
      </c>
      <c r="L16" s="179"/>
      <c r="M16" s="179"/>
    </row>
    <row r="17" ht="14.25" customHeight="1">
      <c r="H17" s="76"/>
    </row>
    <row r="18" spans="3:6" ht="6" customHeight="1">
      <c r="C18" s="76"/>
      <c r="D18" s="76"/>
      <c r="E18" s="76"/>
      <c r="F18" s="76"/>
    </row>
    <row r="19" spans="1:13" ht="15" customHeight="1">
      <c r="A19" s="80" t="s">
        <v>3</v>
      </c>
      <c r="B19" s="80"/>
      <c r="C19" s="76" t="s">
        <v>82</v>
      </c>
      <c r="D19" s="76"/>
      <c r="E19" s="76"/>
      <c r="J19" s="102" t="s">
        <v>109</v>
      </c>
      <c r="K19" s="182" t="str">
        <f>IF('Allow H2O'!R12="","",IF('Allow H2O'!V3=TRUE,'Allow H2O'!R12&amp;" "&amp;"("&amp;ROUND('Allow H2O'!R12*0.5933,0)&amp;")",ROUND('Allow H2O'!R12/0.5933,0)&amp;" "&amp;"("&amp;'Allow H2O'!R12&amp;")"))</f>
        <v>600 (356)</v>
      </c>
      <c r="L19" s="182"/>
      <c r="M19" s="76" t="s">
        <v>62</v>
      </c>
    </row>
    <row r="20" spans="3:12" ht="12" customHeight="1">
      <c r="C20" s="76"/>
      <c r="D20" s="100" t="s">
        <v>130</v>
      </c>
      <c r="E20" s="76"/>
      <c r="F20" s="76"/>
      <c r="K20" s="97"/>
      <c r="L20" s="97"/>
    </row>
    <row r="21" spans="3:12" ht="3" customHeight="1">
      <c r="C21" s="77"/>
      <c r="D21" s="76"/>
      <c r="E21" s="101"/>
      <c r="F21" s="76"/>
      <c r="K21" s="97"/>
      <c r="L21" s="97"/>
    </row>
    <row r="22" spans="1:12" ht="15" customHeight="1">
      <c r="A22" s="80" t="s">
        <v>4</v>
      </c>
      <c r="B22" s="80"/>
      <c r="C22" s="76" t="s">
        <v>83</v>
      </c>
      <c r="E22" s="101"/>
      <c r="F22" s="76"/>
      <c r="J22" s="102" t="s">
        <v>85</v>
      </c>
      <c r="K22" s="181">
        <f>IF('Allow H2O'!R16="","",'Allow H2O'!R16)</f>
        <v>0.44</v>
      </c>
      <c r="L22" s="181"/>
    </row>
    <row r="23" spans="3:12" ht="3" customHeight="1">
      <c r="C23" s="77"/>
      <c r="D23" s="76"/>
      <c r="E23" s="101"/>
      <c r="F23" s="76"/>
      <c r="K23" s="97"/>
      <c r="L23" s="97"/>
    </row>
    <row r="24" spans="1:13" ht="15" customHeight="1">
      <c r="A24" s="80" t="s">
        <v>8</v>
      </c>
      <c r="B24" s="80"/>
      <c r="C24" s="76" t="s">
        <v>86</v>
      </c>
      <c r="E24" s="76"/>
      <c r="J24" s="102" t="s">
        <v>87</v>
      </c>
      <c r="K24" s="182" t="str">
        <f>IF('Allow H2O'!N15="","",IF('Allow H2O'!V3=TRUE,ROUND('Allow H2O'!N15,1)&amp;" "&amp;"("&amp;ROUND('Allow H2O'!N15*4.9511,1)&amp;")",ROUND('Allow H2O'!N15/4.9511,1)&amp;" "&amp;"("&amp;ROUND('Allow H2O'!N15,1)&amp;")"))</f>
        <v>31.7 (156.9)</v>
      </c>
      <c r="L24" s="182"/>
      <c r="M24" s="76" t="s">
        <v>65</v>
      </c>
    </row>
    <row r="25" spans="3:12" ht="12" customHeight="1">
      <c r="C25" s="76"/>
      <c r="D25" s="100" t="s">
        <v>63</v>
      </c>
      <c r="E25" s="76"/>
      <c r="F25" s="76"/>
      <c r="K25" s="97"/>
      <c r="L25" s="97"/>
    </row>
    <row r="26" spans="3:12" ht="12" customHeight="1">
      <c r="C26" s="76"/>
      <c r="D26" s="100" t="s">
        <v>64</v>
      </c>
      <c r="E26" s="76"/>
      <c r="F26" s="76"/>
      <c r="K26" s="97"/>
      <c r="L26" s="97"/>
    </row>
    <row r="27" spans="3:12" ht="3" customHeight="1">
      <c r="C27" s="77"/>
      <c r="D27" s="76"/>
      <c r="E27" s="101"/>
      <c r="F27" s="76"/>
      <c r="K27" s="97"/>
      <c r="L27" s="97"/>
    </row>
    <row r="28" spans="1:13" ht="15" customHeight="1">
      <c r="A28" s="80" t="s">
        <v>10</v>
      </c>
      <c r="B28" s="80"/>
      <c r="C28" s="76" t="s">
        <v>88</v>
      </c>
      <c r="E28" s="101"/>
      <c r="J28" s="102" t="s">
        <v>89</v>
      </c>
      <c r="K28" s="183" t="str">
        <f>IF('Allow H2O'!N17="","",IF('Allow H2O'!V3=TRUE,'Allow H2O'!N17&amp;" "&amp;"("&amp;ROUND('Allow H2O'!N17*0.764555,2)&amp;")",ROUND('Allow H2O'!N17/0.764555,2)&amp;" "&amp;"("&amp;'Allow H2O'!N17&amp;")"))</f>
        <v>1 (0.76)</v>
      </c>
      <c r="L28" s="183"/>
      <c r="M28" s="76" t="s">
        <v>66</v>
      </c>
    </row>
    <row r="29" spans="3:12" ht="3" customHeight="1">
      <c r="C29" s="77"/>
      <c r="D29" s="76"/>
      <c r="E29" s="101"/>
      <c r="F29" s="76"/>
      <c r="K29" s="97"/>
      <c r="L29" s="97"/>
    </row>
    <row r="30" spans="1:13" ht="15" customHeight="1">
      <c r="A30" s="80" t="s">
        <v>13</v>
      </c>
      <c r="B30" s="80"/>
      <c r="C30" s="76" t="s">
        <v>90</v>
      </c>
      <c r="E30" s="76"/>
      <c r="J30" s="102" t="s">
        <v>94</v>
      </c>
      <c r="K30" s="182" t="str">
        <f>IF('Allow H2O'!N18="","",IF('Allow H2O'!V3=TRUE,ROUND('Allow H2O'!N18,1)&amp;" "&amp;"("&amp;ROUND('Allow H2O'!N18*3.7854,1)&amp;")",ROUND('Allow H2O'!N18/3.7854,1)&amp;" "&amp;"("&amp;ROUND('Allow H2O'!N18,1)&amp;")"))</f>
        <v>5 (18.9)</v>
      </c>
      <c r="L30" s="182"/>
      <c r="M30" s="76" t="s">
        <v>67</v>
      </c>
    </row>
    <row r="31" spans="3:12" ht="12" customHeight="1">
      <c r="C31" s="76"/>
      <c r="D31" s="100" t="s">
        <v>72</v>
      </c>
      <c r="E31" s="76"/>
      <c r="F31" s="76"/>
      <c r="K31" s="97"/>
      <c r="L31" s="97"/>
    </row>
    <row r="32" spans="3:12" ht="12" customHeight="1">
      <c r="C32" s="76"/>
      <c r="D32" s="100" t="s">
        <v>73</v>
      </c>
      <c r="E32" s="76"/>
      <c r="F32" s="76"/>
      <c r="K32" s="97"/>
      <c r="L32" s="97"/>
    </row>
    <row r="33" spans="3:12" ht="3" customHeight="1">
      <c r="C33" s="76"/>
      <c r="D33" s="100"/>
      <c r="E33" s="76"/>
      <c r="F33" s="76"/>
      <c r="K33" s="97"/>
      <c r="L33" s="97"/>
    </row>
    <row r="34" spans="3:12" ht="12" customHeight="1">
      <c r="C34" s="76"/>
      <c r="D34" s="100" t="s">
        <v>74</v>
      </c>
      <c r="E34" s="76"/>
      <c r="F34" s="76"/>
      <c r="K34" s="97"/>
      <c r="L34" s="97"/>
    </row>
    <row r="35" spans="3:12" ht="3" customHeight="1">
      <c r="C35" s="77"/>
      <c r="D35" s="76"/>
      <c r="E35" s="101"/>
      <c r="F35" s="76"/>
      <c r="K35" s="97"/>
      <c r="L35" s="97"/>
    </row>
    <row r="36" spans="1:13" ht="15" customHeight="1">
      <c r="A36" s="80" t="s">
        <v>15</v>
      </c>
      <c r="B36" s="80"/>
      <c r="C36" s="76" t="s">
        <v>95</v>
      </c>
      <c r="E36" s="76"/>
      <c r="J36" s="102" t="s">
        <v>96</v>
      </c>
      <c r="K36" s="182" t="str">
        <f>IF('Allow H2O'!N19="","",IF('Allow H2O'!V3=TRUE,ROUND('Allow H2O'!N19,1)&amp;" "&amp;"("&amp;ROUND('Allow H2O'!N19*3.7854,1)&amp;")",ROUND('Allow H2O'!N19/3.7854,1)&amp;" "&amp;"("&amp;ROUND('Allow H2O'!N19,1)&amp;")"))</f>
        <v>1.1 (4.2)</v>
      </c>
      <c r="L36" s="182"/>
      <c r="M36" s="76" t="s">
        <v>67</v>
      </c>
    </row>
    <row r="37" spans="3:12" ht="12" customHeight="1">
      <c r="C37" s="76"/>
      <c r="D37" s="100" t="s">
        <v>75</v>
      </c>
      <c r="E37" s="76"/>
      <c r="F37" s="76"/>
      <c r="K37" s="97"/>
      <c r="L37" s="97"/>
    </row>
    <row r="38" spans="3:12" ht="12" customHeight="1">
      <c r="C38" s="76"/>
      <c r="D38" s="100" t="s">
        <v>76</v>
      </c>
      <c r="E38" s="76"/>
      <c r="F38" s="76"/>
      <c r="K38" s="97"/>
      <c r="L38" s="97"/>
    </row>
    <row r="39" spans="3:12" ht="12" customHeight="1">
      <c r="C39" s="76"/>
      <c r="D39" s="100" t="s">
        <v>74</v>
      </c>
      <c r="E39" s="76"/>
      <c r="F39" s="76"/>
      <c r="K39" s="97"/>
      <c r="L39" s="97"/>
    </row>
    <row r="40" spans="3:12" ht="3" customHeight="1">
      <c r="C40" s="77"/>
      <c r="D40" s="76"/>
      <c r="E40" s="101"/>
      <c r="F40" s="76"/>
      <c r="K40" s="97"/>
      <c r="L40" s="97"/>
    </row>
    <row r="41" spans="1:13" ht="15" customHeight="1">
      <c r="A41" s="80" t="s">
        <v>16</v>
      </c>
      <c r="B41" s="80"/>
      <c r="C41" s="76" t="s">
        <v>97</v>
      </c>
      <c r="E41" s="76"/>
      <c r="J41" s="102" t="s">
        <v>91</v>
      </c>
      <c r="K41" s="182" t="str">
        <f>IF('Allow H2O'!N20="","",IF('Allow H2O'!V3=TRUE,ROUND('Allow H2O'!N20,1)&amp;" "&amp;"("&amp;ROUND('Allow H2O'!N20*3.7854,1)&amp;")",ROUND('Allow H2O'!N20/3.7854,1)&amp;" "&amp;"("&amp;ROUND('Allow H2O'!N20,1)&amp;")"))</f>
        <v>0 (0)</v>
      </c>
      <c r="L41" s="182"/>
      <c r="M41" s="76" t="s">
        <v>67</v>
      </c>
    </row>
    <row r="42" spans="3:12" ht="12" customHeight="1">
      <c r="C42" s="76"/>
      <c r="D42" s="100" t="s">
        <v>79</v>
      </c>
      <c r="E42" s="76"/>
      <c r="F42" s="76"/>
      <c r="K42" s="97"/>
      <c r="L42" s="97"/>
    </row>
    <row r="43" spans="3:12" ht="12" customHeight="1">
      <c r="C43" s="76"/>
      <c r="D43" s="100" t="s">
        <v>80</v>
      </c>
      <c r="E43" s="76"/>
      <c r="F43" s="76"/>
      <c r="K43" s="97"/>
      <c r="L43" s="97"/>
    </row>
    <row r="44" spans="3:12" ht="12" customHeight="1">
      <c r="C44" s="76"/>
      <c r="D44" s="100" t="s">
        <v>68</v>
      </c>
      <c r="E44" s="76"/>
      <c r="F44" s="76"/>
      <c r="K44" s="97"/>
      <c r="L44" s="97"/>
    </row>
    <row r="45" spans="3:12" ht="12" customHeight="1">
      <c r="C45" s="76"/>
      <c r="D45" s="100" t="s">
        <v>81</v>
      </c>
      <c r="E45" s="76"/>
      <c r="F45" s="76"/>
      <c r="K45" s="97"/>
      <c r="L45" s="97"/>
    </row>
    <row r="46" spans="3:12" ht="3" customHeight="1">
      <c r="C46" s="77"/>
      <c r="D46" s="76"/>
      <c r="E46" s="101"/>
      <c r="F46" s="76"/>
      <c r="K46" s="97"/>
      <c r="L46" s="97"/>
    </row>
    <row r="47" spans="1:13" ht="15" customHeight="1">
      <c r="A47" s="116" t="s">
        <v>17</v>
      </c>
      <c r="C47" s="76" t="s">
        <v>127</v>
      </c>
      <c r="D47" s="76"/>
      <c r="E47" s="101"/>
      <c r="F47" s="76"/>
      <c r="J47" s="77" t="s">
        <v>128</v>
      </c>
      <c r="K47" s="182" t="str">
        <f>IF('Allow H2O'!N21="","",IF('Allow H2O'!V3=TRUE,ROUND('Allow H2O'!N21,1)&amp;" "&amp;"("&amp;ROUND('Allow H2O'!N21*3.7854,1)&amp;")",ROUND('Allow H2O'!N21/3.7854,1)&amp;" "&amp;"("&amp;ROUND('Allow H2O'!N21,1)&amp;")"))</f>
        <v>0 (0)</v>
      </c>
      <c r="L47" s="182"/>
      <c r="M47" s="76" t="s">
        <v>67</v>
      </c>
    </row>
    <row r="48" spans="1:13" ht="15" customHeight="1">
      <c r="A48" s="116"/>
      <c r="C48" s="76"/>
      <c r="D48" s="100" t="s">
        <v>126</v>
      </c>
      <c r="E48" s="101"/>
      <c r="F48" s="76"/>
      <c r="J48" s="102"/>
      <c r="K48" s="117"/>
      <c r="L48" s="117"/>
      <c r="M48" s="76"/>
    </row>
    <row r="49" spans="3:12" ht="15" customHeight="1">
      <c r="C49" s="77"/>
      <c r="D49" s="100" t="s">
        <v>129</v>
      </c>
      <c r="E49" s="101"/>
      <c r="F49" s="76"/>
      <c r="K49" s="97"/>
      <c r="L49" s="97"/>
    </row>
    <row r="50" spans="3:12" ht="3" customHeight="1">
      <c r="C50" s="77"/>
      <c r="D50" s="76"/>
      <c r="E50" s="101"/>
      <c r="F50" s="76"/>
      <c r="K50" s="97"/>
      <c r="L50" s="97"/>
    </row>
    <row r="51" spans="1:13" ht="15" customHeight="1">
      <c r="A51" s="116" t="s">
        <v>19</v>
      </c>
      <c r="B51" s="80"/>
      <c r="C51" s="76" t="s">
        <v>98</v>
      </c>
      <c r="E51" s="101"/>
      <c r="J51" s="102" t="s">
        <v>84</v>
      </c>
      <c r="K51" s="182" t="str">
        <f>IF('Allow H2O'!N23="","",IF('Allow H2O'!V3=TRUE,ROUND('Allow H2O'!N23,1)&amp;" "&amp;"("&amp;ROUND('Allow H2O'!N23*3.7854,1)&amp;")",ROUND('Allow H2O'!N23/3.7854,1)&amp;" "&amp;"("&amp;ROUND('Allow H2O'!N23,1)&amp;")"))</f>
        <v>24.3 (92)</v>
      </c>
      <c r="L51" s="182"/>
      <c r="M51" s="76" t="s">
        <v>67</v>
      </c>
    </row>
    <row r="52" spans="3:12" ht="3" customHeight="1">
      <c r="C52" s="77"/>
      <c r="D52" s="76"/>
      <c r="E52" s="101"/>
      <c r="F52" s="76"/>
      <c r="K52" s="97"/>
      <c r="L52" s="97"/>
    </row>
    <row r="53" spans="1:13" ht="15" customHeight="1">
      <c r="A53" s="116" t="s">
        <v>20</v>
      </c>
      <c r="B53" s="80"/>
      <c r="C53" s="76" t="s">
        <v>100</v>
      </c>
      <c r="E53" s="76"/>
      <c r="J53" s="102" t="s">
        <v>101</v>
      </c>
      <c r="K53" s="182" t="str">
        <f>IF('Allow H2O'!N24="","",IF('Allow H2O'!V3=TRUE,ROUND('Allow H2O'!N24,1)&amp;" "&amp;"("&amp;ROUND('Allow H2O'!N24*3.7854,1)&amp;")",ROUND('Allow H2O'!N24/3.7854,1)&amp;" "&amp;"("&amp;ROUND('Allow H2O'!N24,1)&amp;")"))</f>
        <v>30.4 (115.1)</v>
      </c>
      <c r="L53" s="182"/>
      <c r="M53" s="76" t="s">
        <v>67</v>
      </c>
    </row>
    <row r="54" spans="1:17" ht="12" customHeight="1">
      <c r="A54" s="116"/>
      <c r="B54" s="80"/>
      <c r="C54" s="76"/>
      <c r="D54" s="100" t="s">
        <v>153</v>
      </c>
      <c r="E54" s="76"/>
      <c r="J54" s="102"/>
      <c r="K54" s="117"/>
      <c r="L54" s="117"/>
      <c r="M54" s="76"/>
      <c r="P54"/>
      <c r="Q54" s="141"/>
    </row>
    <row r="55" spans="3:17" ht="12" customHeight="1">
      <c r="C55" s="76"/>
      <c r="D55" s="100" t="s">
        <v>152</v>
      </c>
      <c r="E55" s="76"/>
      <c r="F55" s="76"/>
      <c r="K55" s="97"/>
      <c r="L55" s="97"/>
      <c r="P55"/>
      <c r="Q55" s="142"/>
    </row>
    <row r="56" spans="3:12" ht="3" customHeight="1">
      <c r="C56" s="77"/>
      <c r="D56" s="76"/>
      <c r="E56" s="101"/>
      <c r="F56" s="76"/>
      <c r="K56" s="97"/>
      <c r="L56" s="97"/>
    </row>
    <row r="57" spans="1:13" ht="15" customHeight="1">
      <c r="A57" s="116" t="s">
        <v>21</v>
      </c>
      <c r="B57" s="80"/>
      <c r="C57" s="76" t="s">
        <v>102</v>
      </c>
      <c r="E57" s="76"/>
      <c r="J57" s="102" t="s">
        <v>93</v>
      </c>
      <c r="K57" s="182" t="str">
        <f>IF('Allow H2O'!R26="","",IF('Allow H2O'!V3=TRUE,ROUND('Allow H2O'!R26,1)&amp;" "&amp;"("&amp;ROUND('Allow H2O'!R26*3.7854,1)&amp;")",ROUND('Allow H2O'!R26/3.7854,1)&amp;" "&amp;"("&amp;ROUND('Allow H2O'!R26,1)&amp;")"))</f>
        <v>31.7 (120)</v>
      </c>
      <c r="L57" s="182"/>
      <c r="M57" s="76" t="s">
        <v>67</v>
      </c>
    </row>
    <row r="58" spans="3:12" ht="12" customHeight="1">
      <c r="C58" s="76"/>
      <c r="D58" s="100" t="s">
        <v>117</v>
      </c>
      <c r="E58" s="76"/>
      <c r="F58" s="76"/>
      <c r="K58" s="97"/>
      <c r="L58" s="97"/>
    </row>
    <row r="59" spans="3:12" ht="3" customHeight="1">
      <c r="C59" s="77"/>
      <c r="D59" s="76"/>
      <c r="E59" s="101"/>
      <c r="F59" s="76"/>
      <c r="K59" s="97"/>
      <c r="L59" s="97"/>
    </row>
    <row r="60" spans="1:13" ht="15" customHeight="1">
      <c r="A60" s="116" t="s">
        <v>22</v>
      </c>
      <c r="B60" s="80"/>
      <c r="C60" s="76" t="s">
        <v>103</v>
      </c>
      <c r="E60" s="76"/>
      <c r="J60" s="102" t="s">
        <v>104</v>
      </c>
      <c r="K60" s="182" t="str">
        <f>IF('Allow H2O'!N26="","",IF('Allow H2O'!V3=TRUE,ROUND('Allow H2O'!N26,1)&amp;" "&amp;"("&amp;ROUND('Allow H2O'!N26*3.7854,1)&amp;")",ROUND('Allow H2O'!N26/3.7854,1)&amp;" "&amp;"("&amp;ROUND('Allow H2O'!N26,1)&amp;")"))</f>
        <v>1.3 (4.9)</v>
      </c>
      <c r="L60" s="182"/>
      <c r="M60" s="76" t="s">
        <v>67</v>
      </c>
    </row>
    <row r="61" spans="3:12" ht="12" customHeight="1">
      <c r="C61" s="76"/>
      <c r="D61" s="100" t="s">
        <v>149</v>
      </c>
      <c r="E61" s="76"/>
      <c r="F61" s="76"/>
      <c r="K61" s="97"/>
      <c r="L61" s="97"/>
    </row>
    <row r="62" spans="3:12" ht="3" customHeight="1">
      <c r="C62" s="77"/>
      <c r="D62" s="76"/>
      <c r="E62" s="101"/>
      <c r="F62" s="76"/>
      <c r="K62" s="97"/>
      <c r="L62" s="97"/>
    </row>
    <row r="63" spans="1:13" ht="15" customHeight="1">
      <c r="A63" s="116" t="s">
        <v>23</v>
      </c>
      <c r="B63" s="80"/>
      <c r="C63" s="76" t="s">
        <v>105</v>
      </c>
      <c r="E63" s="101"/>
      <c r="J63" s="102" t="s">
        <v>92</v>
      </c>
      <c r="K63" s="182" t="str">
        <f>IF('Allow H2O'!N28="","",IF('Allow H2O'!V3=TRUE,ROUND('Allow H2O'!N28,1)&amp;" "&amp;"("&amp;ROUND('Allow H2O'!N28*3.7854,1)&amp;")",ROUND('Allow H2O'!N28/3.7854,1)&amp;" "&amp;"("&amp;ROUND('Allow H2O'!N28,1)&amp;")"))</f>
        <v>1.3 (4.9)</v>
      </c>
      <c r="L63" s="182"/>
      <c r="M63" s="76" t="s">
        <v>67</v>
      </c>
    </row>
    <row r="64" spans="3:12" ht="3" customHeight="1">
      <c r="C64" s="77"/>
      <c r="D64" s="76"/>
      <c r="E64" s="101"/>
      <c r="F64" s="76"/>
      <c r="K64" s="97"/>
      <c r="L64" s="97"/>
    </row>
    <row r="65" spans="1:13" ht="15" customHeight="1">
      <c r="A65" s="116" t="s">
        <v>24</v>
      </c>
      <c r="B65" s="80"/>
      <c r="C65" s="76" t="s">
        <v>106</v>
      </c>
      <c r="E65" s="76"/>
      <c r="J65" s="102" t="s">
        <v>107</v>
      </c>
      <c r="K65" s="182" t="str">
        <f>IF('Allow H2O'!R29="","",IF('Allow H2O'!V3=TRUE,ROUND('Allow H2O'!R29,1)&amp;" "&amp;"("&amp;ROUND('Allow H2O'!R29*3.7854,1)&amp;")",ROUND('Allow H2O'!R29/3.7854,1)&amp;" "&amp;"("&amp;ROUND('Allow H2O'!R29,1)&amp;")"))</f>
        <v>0 (0)</v>
      </c>
      <c r="L65" s="182"/>
      <c r="M65" s="76" t="s">
        <v>67</v>
      </c>
    </row>
    <row r="66" spans="3:12" ht="12" customHeight="1">
      <c r="C66" s="76"/>
      <c r="D66" s="100" t="s">
        <v>69</v>
      </c>
      <c r="E66" s="76"/>
      <c r="F66" s="76"/>
      <c r="K66" s="97"/>
      <c r="L66" s="97"/>
    </row>
    <row r="67" spans="3:12" ht="3" customHeight="1">
      <c r="C67" s="77"/>
      <c r="D67" s="76"/>
      <c r="E67" s="101"/>
      <c r="F67" s="76"/>
      <c r="K67" s="97"/>
      <c r="L67" s="97"/>
    </row>
    <row r="68" spans="1:13" ht="15" customHeight="1">
      <c r="A68" s="116" t="s">
        <v>29</v>
      </c>
      <c r="B68" s="80"/>
      <c r="C68" s="76" t="s">
        <v>108</v>
      </c>
      <c r="E68" s="76"/>
      <c r="J68" s="102" t="s">
        <v>99</v>
      </c>
      <c r="K68" s="182" t="str">
        <f>IF('Allow H2O'!N29="","",IF('Allow H2O'!V3=TRUE,ROUND('Allow H2O'!N29,1)&amp;" "&amp;"("&amp;ROUND('Allow H2O'!N29*3.7854,1)&amp;")",ROUND('Allow H2O'!N29/3.7854,1)&amp;" "&amp;"("&amp;ROUND('Allow H2O'!N29,1)&amp;")"))</f>
        <v>31.7 (120)</v>
      </c>
      <c r="L68" s="182"/>
      <c r="M68" s="76" t="s">
        <v>67</v>
      </c>
    </row>
    <row r="69" spans="3:6" ht="12" customHeight="1">
      <c r="C69" s="76"/>
      <c r="D69" s="100" t="s">
        <v>150</v>
      </c>
      <c r="E69" s="76"/>
      <c r="F69" s="76"/>
    </row>
    <row r="70" ht="3" customHeight="1">
      <c r="C70" s="78"/>
    </row>
    <row r="71" spans="1:13" ht="15" customHeight="1">
      <c r="A71" s="83" t="s">
        <v>77</v>
      </c>
      <c r="B71" s="84"/>
      <c r="C71" s="184">
        <f ca="1">NOW()</f>
        <v>43097.41144780093</v>
      </c>
      <c r="D71" s="184"/>
      <c r="E71" s="84"/>
      <c r="F71" s="84"/>
      <c r="G71" s="84"/>
      <c r="H71" s="84"/>
      <c r="I71" s="84"/>
      <c r="J71" s="84"/>
      <c r="K71" s="84"/>
      <c r="L71" s="84"/>
      <c r="M71" s="118" t="s">
        <v>154</v>
      </c>
    </row>
    <row r="72" spans="2:13" ht="12" customHeight="1">
      <c r="B72" s="84"/>
      <c r="E72" s="84"/>
      <c r="F72" s="84"/>
      <c r="G72" s="84"/>
      <c r="H72" s="84"/>
      <c r="I72" s="84"/>
      <c r="J72" s="84"/>
      <c r="K72" s="84"/>
      <c r="L72" s="84"/>
      <c r="M72" s="84"/>
    </row>
  </sheetData>
  <sheetProtection sheet="1"/>
  <mergeCells count="29">
    <mergeCell ref="K41:L41"/>
    <mergeCell ref="K51:L51"/>
    <mergeCell ref="K47:L47"/>
    <mergeCell ref="C71:D71"/>
    <mergeCell ref="K65:L65"/>
    <mergeCell ref="K68:L68"/>
    <mergeCell ref="K53:L53"/>
    <mergeCell ref="K57:L57"/>
    <mergeCell ref="K60:L60"/>
    <mergeCell ref="K63:L63"/>
    <mergeCell ref="E8:G8"/>
    <mergeCell ref="K22:L22"/>
    <mergeCell ref="K24:L24"/>
    <mergeCell ref="K28:L28"/>
    <mergeCell ref="K30:L30"/>
    <mergeCell ref="K36:L36"/>
    <mergeCell ref="E14:G14"/>
    <mergeCell ref="E16:G16"/>
    <mergeCell ref="K19:L19"/>
    <mergeCell ref="E6:G6"/>
    <mergeCell ref="C1:G4"/>
    <mergeCell ref="K16:M16"/>
    <mergeCell ref="K14:M14"/>
    <mergeCell ref="K12:M12"/>
    <mergeCell ref="K10:M10"/>
    <mergeCell ref="K8:M8"/>
    <mergeCell ref="K6:M6"/>
    <mergeCell ref="E12:G12"/>
    <mergeCell ref="E10:G10"/>
  </mergeCells>
  <printOptions/>
  <pageMargins left="0.5" right="0.5" top="0.5" bottom="0.5" header="0" footer="0.5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krstulovichjm</dc:creator>
  <cp:keywords/>
  <dc:description/>
  <cp:lastModifiedBy>krstulovichjm</cp:lastModifiedBy>
  <cp:lastPrinted>2017-12-28T15:55:05Z</cp:lastPrinted>
  <dcterms:created xsi:type="dcterms:W3CDTF">2005-07-26T16:10:00Z</dcterms:created>
  <dcterms:modified xsi:type="dcterms:W3CDTF">2017-12-28T16:40:14Z</dcterms:modified>
  <cp:category/>
  <cp:version/>
  <cp:contentType/>
  <cp:contentStatus/>
</cp:coreProperties>
</file>