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95" tabRatio="111" activeTab="0"/>
  </bookViews>
  <sheets>
    <sheet name="A" sheetId="1" r:id="rId1"/>
  </sheets>
  <definedNames>
    <definedName name="__123Graph_ACHART1" hidden="1">'A'!$V$40:$V$340</definedName>
    <definedName name="__123Graph_ACHART2" hidden="1">'A'!$F$338:$F$366</definedName>
    <definedName name="__123Graph_ADEVEL.LENGTH" hidden="1">'A'!$O$23:$O$40</definedName>
    <definedName name="__123Graph_BCHART1" hidden="1">'A'!#REF!</definedName>
    <definedName name="__123Graph_BCHART2" hidden="1">'A'!$H$338:$H$366</definedName>
    <definedName name="__123Graph_BDEVEL.LENGTH" hidden="1">'A'!$J$23:$J$40</definedName>
    <definedName name="__123Graph_CCHART2" hidden="1">'A'!$J$338:$J$366</definedName>
    <definedName name="__123Graph_CDEVEL.LENGTH" hidden="1">'A'!#REF!</definedName>
    <definedName name="__123Graph_DCHART2" hidden="1">'A'!$L$338:$L$366</definedName>
    <definedName name="__123Graph_ECHART2" hidden="1">'A'!$M$338:$M$366</definedName>
    <definedName name="__123Graph_FCHART2" hidden="1">'A'!$N$338:$N$366</definedName>
    <definedName name="__123Graph_XCHART1" hidden="1">'A'!$U$40:$U$340</definedName>
    <definedName name="__123Graph_XCHART2" hidden="1">'A'!$E$338:$E$366</definedName>
    <definedName name="__123Graph_XDEVEL.LENGTH" hidden="1">'A'!$E$23:$E$40</definedName>
    <definedName name="_Parse_In" hidden="1">'A'!$AN$23</definedName>
    <definedName name="_Parse_Out" hidden="1">'A'!$AQ$23:$AQ$29</definedName>
    <definedName name="_Table1_In1" hidden="1">'A'!$L$10</definedName>
    <definedName name="_Table1_Out" hidden="1">'A'!$E$337:$Q$366</definedName>
    <definedName name="BETA">'A'!$L$9</definedName>
    <definedName name="DELTA">'A'!$L$12</definedName>
    <definedName name="EMBANK_HT">'A'!$L$10</definedName>
    <definedName name="PHI">'A'!$L$7</definedName>
    <definedName name="_xlnm.Print_Area" localSheetId="0">'A'!$A$1:$S$75</definedName>
    <definedName name="PRINTRANGE">'A'!$B$1:$S$98</definedName>
    <definedName name="TRAFFIC_SURCH">'A'!$L$11</definedName>
    <definedName name="UNIT_WT">'A'!$L$8</definedName>
    <definedName name="WALL_HT">'A'!$L$6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<sst xmlns="http://schemas.openxmlformats.org/spreadsheetml/2006/main" count="849" uniqueCount="80">
  <si>
    <t>*</t>
  </si>
  <si>
    <t>reinf.</t>
  </si>
  <si>
    <t xml:space="preserve">depth </t>
  </si>
  <si>
    <t>HORZ. dist.</t>
  </si>
  <si>
    <t>EMBANK. ht.</t>
  </si>
  <si>
    <t>SLOPED</t>
  </si>
  <si>
    <t xml:space="preserve">SURCH </t>
  </si>
  <si>
    <t>layer</t>
  </si>
  <si>
    <t>below</t>
  </si>
  <si>
    <t>earth</t>
  </si>
  <si>
    <t xml:space="preserve">from failure </t>
  </si>
  <si>
    <t>num.</t>
  </si>
  <si>
    <t xml:space="preserve">top of </t>
  </si>
  <si>
    <t>press.</t>
  </si>
  <si>
    <t xml:space="preserve">earth </t>
  </si>
  <si>
    <t xml:space="preserve">plane to  </t>
  </si>
  <si>
    <t>wall</t>
  </si>
  <si>
    <t>assump.</t>
  </si>
  <si>
    <t>slope break</t>
  </si>
  <si>
    <t>FT.</t>
  </si>
  <si>
    <t>KCF.</t>
  </si>
  <si>
    <t>KSF.</t>
  </si>
  <si>
    <t>DEPTH TO</t>
  </si>
  <si>
    <t>PRESSURE</t>
  </si>
  <si>
    <t>STRESS</t>
  </si>
  <si>
    <t>LENGTH</t>
  </si>
  <si>
    <t>PULLOUT</t>
  </si>
  <si>
    <t>TO FAILURE</t>
  </si>
  <si>
    <t>AT FAILURE</t>
  </si>
  <si>
    <t>SAFETY</t>
  </si>
  <si>
    <t>SURFACE</t>
  </si>
  <si>
    <t>FACTOR</t>
  </si>
  <si>
    <t>(FT.)</t>
  </si>
  <si>
    <t>(KSF.)</t>
  </si>
  <si>
    <t>(K/FT)</t>
  </si>
  <si>
    <t>(F.O.S.)</t>
  </si>
  <si>
    <t>HORIZ. COMP. RANKINES</t>
  </si>
  <si>
    <t>SLOPING  Ka</t>
  </si>
  <si>
    <t>FLAT Ka</t>
  </si>
  <si>
    <t>x (horz.)</t>
  </si>
  <si>
    <t>a (vert.)</t>
  </si>
  <si>
    <t>UNIFORM SURCHARGE ==============================================</t>
  </si>
  <si>
    <t>ANGLE OF BACKSLOPE =============================================</t>
  </si>
  <si>
    <t>HEIGHT OF EMBANKMENT ABOVE WALL ================================</t>
  </si>
  <si>
    <t>BACKFILL UNIT WEIGHT =============================================</t>
  </si>
  <si>
    <t>BACKFILL FRICTION ANGLE (PHI) ======================================</t>
  </si>
  <si>
    <t>TOTAL WALL HEIGHT ===============================================</t>
  </si>
  <si>
    <t>LAYER</t>
  </si>
  <si>
    <t>GEOTEXTILE VERTICAL SPACING ========================================</t>
  </si>
  <si>
    <t>SOIL</t>
  </si>
  <si>
    <t>FACE</t>
  </si>
  <si>
    <t>RE-EMBED</t>
  </si>
  <si>
    <t>AT WALL</t>
  </si>
  <si>
    <t>TOTAL GEOTEXTILE REINFORCEMENT LENGTH ========================================</t>
  </si>
  <si>
    <t>TOTAL GEOTEXTILE RE-EMBEDMENT LENGTH ========================================</t>
  </si>
  <si>
    <t xml:space="preserve">                    </t>
  </si>
  <si>
    <t>at failure</t>
  </si>
  <si>
    <t xml:space="preserve"> </t>
  </si>
  <si>
    <t>SOIL/GEOTEXTILE COEF. OF FRICTION =====================================</t>
  </si>
  <si>
    <t>GEOTEXTILE</t>
  </si>
  <si>
    <t>from face to</t>
  </si>
  <si>
    <t>failure surf.</t>
  </si>
  <si>
    <t>at top of wall</t>
  </si>
  <si>
    <t>at press depth</t>
  </si>
  <si>
    <t>surface /</t>
  </si>
  <si>
    <t>min.</t>
  </si>
  <si>
    <t>at pressure</t>
  </si>
  <si>
    <t xml:space="preserve">depth/ failure </t>
  </si>
  <si>
    <t>plain offset</t>
  </si>
  <si>
    <t>where failure</t>
  </si>
  <si>
    <t>embank surface</t>
  </si>
  <si>
    <t>plain hits</t>
  </si>
  <si>
    <t>ground surf</t>
  </si>
  <si>
    <t>controlling</t>
  </si>
  <si>
    <t>DEG. (NORMALLY 34 DEGREES)</t>
  </si>
  <si>
    <r>
      <t>% of TAN(</t>
    </r>
    <r>
      <rPr>
        <sz val="12"/>
        <rFont val="Symbol"/>
        <family val="1"/>
      </rPr>
      <t>f</t>
    </r>
    <r>
      <rPr>
        <sz val="12"/>
        <rFont val="Arial"/>
        <family val="0"/>
      </rPr>
      <t>) (USE 2/3 PER FIG. 5.8.5.2A, AASHTO)</t>
    </r>
  </si>
  <si>
    <t>FT.  (1.0 FT. TYPICAL)</t>
  </si>
  <si>
    <t>FT.  (1.0xH MINIMUM)</t>
  </si>
  <si>
    <t>FT.  (3 FT. MINIMUM)</t>
  </si>
  <si>
    <t xml:space="preserve">TEMPORARY GEOTEXTILE WALL ANALYSIS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</si>
</sst>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0.000_)"/>
    <numFmt numFmtId="168" formatCode="0_)"/>
    <numFmt numFmtId="169" formatCode="0.0%"/>
    <numFmt numFmtId="170" formatCode="0.000"/>
    <numFmt numFmtId="171" formatCode="[$-409]dddd\,\ mmmm\ dd\,\ yyyy"/>
    <numFmt numFmtId="172" formatCode="[$-409]h:mm:ss\ AM/PM"/>
  </numFmts>
  <fonts count="50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1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20"/>
      <name val="Tahoma"/>
      <family val="2"/>
    </font>
    <font>
      <sz val="12"/>
      <color indexed="10"/>
      <name val="Arial"/>
      <family val="2"/>
    </font>
    <font>
      <u val="single"/>
      <sz val="7.3"/>
      <color indexed="12"/>
      <name val="Arial"/>
      <family val="2"/>
    </font>
    <font>
      <u val="single"/>
      <sz val="7.3"/>
      <color indexed="36"/>
      <name val="Arial"/>
      <family val="2"/>
    </font>
    <font>
      <sz val="12"/>
      <name val="Symbol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"/>
      <color indexed="8"/>
      <name val="Arial"/>
      <family val="0"/>
    </font>
    <font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167" fontId="0" fillId="0" borderId="0" xfId="0" applyAlignment="1">
      <alignment/>
    </xf>
    <xf numFmtId="167" fontId="0" fillId="0" borderId="10" xfId="0" applyBorder="1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7" fontId="2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/>
    </xf>
    <xf numFmtId="167" fontId="0" fillId="0" borderId="0" xfId="0" applyAlignment="1">
      <alignment horizontal="fill"/>
    </xf>
    <xf numFmtId="167" fontId="3" fillId="33" borderId="0" xfId="0" applyFont="1" applyFill="1" applyAlignment="1" applyProtection="1">
      <alignment/>
      <protection locked="0"/>
    </xf>
    <xf numFmtId="167" fontId="3" fillId="33" borderId="0" xfId="0" applyNumberFormat="1" applyFont="1" applyFill="1" applyAlignment="1" applyProtection="1">
      <alignment/>
      <protection locked="0"/>
    </xf>
    <xf numFmtId="167" fontId="4" fillId="0" borderId="0" xfId="0" applyFont="1" applyAlignment="1">
      <alignment/>
    </xf>
    <xf numFmtId="167" fontId="5" fillId="0" borderId="0" xfId="0" applyFont="1" applyAlignment="1">
      <alignment horizontal="center"/>
    </xf>
    <xf numFmtId="167" fontId="5" fillId="0" borderId="11" xfId="0" applyFont="1" applyBorder="1" applyAlignment="1">
      <alignment horizontal="center"/>
    </xf>
    <xf numFmtId="167" fontId="4" fillId="0" borderId="0" xfId="0" applyFont="1" applyAlignment="1">
      <alignment horizontal="center"/>
    </xf>
    <xf numFmtId="167" fontId="4" fillId="0" borderId="11" xfId="0" applyFont="1" applyBorder="1" applyAlignment="1">
      <alignment horizontal="center"/>
    </xf>
    <xf numFmtId="167" fontId="4" fillId="0" borderId="0" xfId="0" applyFont="1" applyBorder="1" applyAlignment="1">
      <alignment horizontal="center"/>
    </xf>
    <xf numFmtId="167" fontId="0" fillId="0" borderId="0" xfId="0" applyBorder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167" fontId="9" fillId="0" borderId="0" xfId="0" applyFont="1" applyAlignment="1">
      <alignment/>
    </xf>
    <xf numFmtId="167" fontId="0" fillId="0" borderId="0" xfId="0" applyAlignment="1">
      <alignment horizontal="center"/>
    </xf>
    <xf numFmtId="16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67" fontId="0" fillId="0" borderId="0" xfId="0" applyAlignment="1">
      <alignment horizontal="left"/>
    </xf>
    <xf numFmtId="167" fontId="0" fillId="34" borderId="0" xfId="0" applyNumberFormat="1" applyFill="1" applyAlignment="1" applyProtection="1">
      <alignment/>
      <protection/>
    </xf>
    <xf numFmtId="167" fontId="0" fillId="0" borderId="0" xfId="0" applyFont="1" applyAlignment="1">
      <alignment/>
    </xf>
    <xf numFmtId="167" fontId="7" fillId="0" borderId="0" xfId="0" applyFont="1" applyBorder="1" applyAlignment="1">
      <alignment/>
    </xf>
    <xf numFmtId="167" fontId="8" fillId="0" borderId="0" xfId="0" applyFont="1" applyBorder="1" applyAlignment="1">
      <alignment horizontal="center"/>
    </xf>
    <xf numFmtId="167" fontId="0" fillId="0" borderId="0" xfId="0" applyBorder="1" applyAlignment="1">
      <alignment horizontal="center"/>
    </xf>
    <xf numFmtId="167" fontId="0" fillId="0" borderId="0" xfId="0" applyBorder="1" applyAlignment="1">
      <alignment horizontal="right"/>
    </xf>
    <xf numFmtId="167" fontId="13" fillId="0" borderId="0" xfId="0" applyFont="1" applyBorder="1" applyAlignment="1">
      <alignment horizontal="right"/>
    </xf>
    <xf numFmtId="2" fontId="3" fillId="33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8025"/>
          <c:h val="0.9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A!$U$40:$U$355</c:f>
              <c:numCache/>
            </c:numRef>
          </c:xVal>
          <c:yVal>
            <c:numRef>
              <c:f>A!$V$40:$V$355</c:f>
              <c:numCache/>
            </c:numRef>
          </c:yVal>
          <c:smooth val="0"/>
        </c:ser>
        <c:axId val="5152077"/>
        <c:axId val="46368694"/>
      </c:scatterChart>
      <c:val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8694"/>
        <c:crossesAt val="-10"/>
        <c:crossBetween val="midCat"/>
        <c:dispUnits/>
      </c:valAx>
      <c:valAx>
        <c:axId val="46368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30</xdr:row>
      <xdr:rowOff>104775</xdr:rowOff>
    </xdr:from>
    <xdr:to>
      <xdr:col>19</xdr:col>
      <xdr:colOff>19050</xdr:colOff>
      <xdr:row>73</xdr:row>
      <xdr:rowOff>171450</xdr:rowOff>
    </xdr:to>
    <xdr:graphicFrame>
      <xdr:nvGraphicFramePr>
        <xdr:cNvPr id="1" name="Chart 7"/>
        <xdr:cNvGraphicFramePr/>
      </xdr:nvGraphicFramePr>
      <xdr:xfrm>
        <a:off x="962025" y="5972175"/>
        <a:ext cx="96869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28575</xdr:rowOff>
    </xdr:from>
    <xdr:to>
      <xdr:col>7</xdr:col>
      <xdr:colOff>85725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3695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S366"/>
  <sheetViews>
    <sheetView tabSelected="1" defaultGridColor="0" zoomScale="146" zoomScaleNormal="146" colorId="22" workbookViewId="0" topLeftCell="A1">
      <selection activeCell="R4" sqref="R4"/>
    </sheetView>
  </sheetViews>
  <sheetFormatPr defaultColWidth="9.77734375" defaultRowHeight="15"/>
  <cols>
    <col min="1" max="1" width="3.88671875" style="0" customWidth="1"/>
    <col min="2" max="2" width="6.99609375" style="0" customWidth="1"/>
    <col min="3" max="3" width="4.5546875" style="0" customWidth="1"/>
    <col min="4" max="4" width="10.10546875" style="0" customWidth="1"/>
    <col min="5" max="5" width="4.21484375" style="0" customWidth="1"/>
    <col min="6" max="6" width="8.6640625" style="0" customWidth="1"/>
    <col min="7" max="7" width="3.99609375" style="0" customWidth="1"/>
    <col min="8" max="8" width="8.88671875" style="0" customWidth="1"/>
    <col min="9" max="9" width="4.5546875" style="0" customWidth="1"/>
    <col min="10" max="10" width="7.77734375" style="0" customWidth="1"/>
    <col min="11" max="11" width="5.3359375" style="0" customWidth="1"/>
    <col min="12" max="12" width="7.99609375" style="0" customWidth="1"/>
    <col min="13" max="13" width="5.3359375" style="0" customWidth="1"/>
    <col min="14" max="14" width="9.3359375" style="0" customWidth="1"/>
    <col min="15" max="15" width="5.6640625" style="0" customWidth="1"/>
    <col min="16" max="16" width="8.5546875" style="0" customWidth="1"/>
    <col min="17" max="17" width="5.3359375" style="0" customWidth="1"/>
    <col min="18" max="18" width="6.77734375" style="0" customWidth="1"/>
    <col min="19" max="19" width="5.99609375" style="0" customWidth="1"/>
    <col min="20" max="20" width="23.99609375" style="0" customWidth="1"/>
    <col min="21" max="21" width="9.3359375" style="0" customWidth="1"/>
    <col min="22" max="22" width="9.21484375" style="0" customWidth="1"/>
    <col min="23" max="23" width="11.5546875" style="0" customWidth="1"/>
    <col min="24" max="24" width="11.77734375" style="0" customWidth="1"/>
    <col min="25" max="28" width="8.77734375" style="0" customWidth="1"/>
    <col min="29" max="29" width="11.6640625" style="0" customWidth="1"/>
    <col min="30" max="30" width="9.77734375" style="0" customWidth="1"/>
    <col min="31" max="31" width="10.99609375" style="0" customWidth="1"/>
    <col min="32" max="32" width="11.21484375" style="0" customWidth="1"/>
    <col min="33" max="34" width="8.77734375" style="0" customWidth="1"/>
    <col min="35" max="35" width="7.77734375" style="0" customWidth="1"/>
    <col min="36" max="36" width="10.6640625" style="0" customWidth="1"/>
  </cols>
  <sheetData>
    <row r="1" spans="19:37" ht="15">
      <c r="S1" s="17"/>
      <c r="T1" s="8" t="s">
        <v>0</v>
      </c>
      <c r="U1" t="s">
        <v>1</v>
      </c>
      <c r="V1" s="17" t="s">
        <v>2</v>
      </c>
      <c r="W1" s="17" t="s">
        <v>3</v>
      </c>
      <c r="X1" t="s">
        <v>4</v>
      </c>
      <c r="Y1" t="s">
        <v>5</v>
      </c>
      <c r="Z1" t="s">
        <v>6</v>
      </c>
      <c r="AA1" t="s">
        <v>65</v>
      </c>
      <c r="AC1" s="1" t="s">
        <v>3</v>
      </c>
      <c r="AD1" t="s">
        <v>3</v>
      </c>
      <c r="AE1" t="str">
        <f>+X1</f>
        <v>EMBANK. ht.</v>
      </c>
      <c r="AF1" t="str">
        <f>+AE1</f>
        <v>EMBANK. ht.</v>
      </c>
      <c r="AG1" t="str">
        <f aca="true" t="shared" si="0" ref="AG1:AI4">+Y1</f>
        <v>SLOPED</v>
      </c>
      <c r="AH1" t="str">
        <f t="shared" si="0"/>
        <v>SURCH </v>
      </c>
      <c r="AI1" t="str">
        <f t="shared" si="0"/>
        <v>min.</v>
      </c>
      <c r="AK1" s="8" t="s">
        <v>0</v>
      </c>
    </row>
    <row r="2" spans="2:38" ht="16.5" customHeight="1">
      <c r="B2" s="28"/>
      <c r="C2" s="17"/>
      <c r="D2" s="17"/>
      <c r="E2" s="17"/>
      <c r="F2" s="17"/>
      <c r="G2" s="17"/>
      <c r="H2" s="17"/>
      <c r="I2" s="29"/>
      <c r="J2" s="17"/>
      <c r="K2" s="29"/>
      <c r="L2" s="17"/>
      <c r="M2" s="29"/>
      <c r="N2" s="29"/>
      <c r="O2" s="17"/>
      <c r="P2" s="17"/>
      <c r="Q2" s="17"/>
      <c r="S2" s="28"/>
      <c r="T2" s="8" t="s">
        <v>0</v>
      </c>
      <c r="U2" t="s">
        <v>7</v>
      </c>
      <c r="V2" t="s">
        <v>8</v>
      </c>
      <c r="W2" t="s">
        <v>60</v>
      </c>
      <c r="X2" t="s">
        <v>56</v>
      </c>
      <c r="Y2" t="s">
        <v>17</v>
      </c>
      <c r="Z2" t="str">
        <f>+Y2</f>
        <v>assump.</v>
      </c>
      <c r="AA2" s="27" t="s">
        <v>73</v>
      </c>
      <c r="AC2" t="s">
        <v>60</v>
      </c>
      <c r="AD2" t="s">
        <v>10</v>
      </c>
      <c r="AE2" t="s">
        <v>66</v>
      </c>
      <c r="AF2" t="s">
        <v>69</v>
      </c>
      <c r="AG2" t="str">
        <f t="shared" si="0"/>
        <v>assump.</v>
      </c>
      <c r="AH2" t="str">
        <f t="shared" si="0"/>
        <v>assump.</v>
      </c>
      <c r="AI2" t="str">
        <f t="shared" si="0"/>
        <v>controlling</v>
      </c>
      <c r="AK2" s="8" t="s">
        <v>0</v>
      </c>
      <c r="AL2" s="14"/>
    </row>
    <row r="3" spans="2:45" ht="23.25">
      <c r="B3" s="17"/>
      <c r="C3" s="17"/>
      <c r="D3" s="17"/>
      <c r="E3" s="17"/>
      <c r="F3" s="17"/>
      <c r="G3" s="17"/>
      <c r="H3" s="17"/>
      <c r="I3" s="17"/>
      <c r="J3" s="30"/>
      <c r="K3" s="17"/>
      <c r="L3" s="17"/>
      <c r="M3" s="30"/>
      <c r="N3" s="30"/>
      <c r="O3" s="17"/>
      <c r="P3" s="17"/>
      <c r="Q3" s="31"/>
      <c r="R3" s="32" t="s">
        <v>79</v>
      </c>
      <c r="S3" s="17"/>
      <c r="T3" s="8" t="s">
        <v>0</v>
      </c>
      <c r="U3" t="s">
        <v>11</v>
      </c>
      <c r="V3" t="s">
        <v>12</v>
      </c>
      <c r="W3" t="s">
        <v>61</v>
      </c>
      <c r="X3" t="s">
        <v>64</v>
      </c>
      <c r="Y3" t="s">
        <v>9</v>
      </c>
      <c r="Z3" t="s">
        <v>9</v>
      </c>
      <c r="AA3" t="s">
        <v>14</v>
      </c>
      <c r="AC3" t="s">
        <v>61</v>
      </c>
      <c r="AD3" t="s">
        <v>15</v>
      </c>
      <c r="AE3" t="s">
        <v>67</v>
      </c>
      <c r="AF3" t="s">
        <v>71</v>
      </c>
      <c r="AG3" t="str">
        <f t="shared" si="0"/>
        <v>earth</v>
      </c>
      <c r="AH3" t="str">
        <f t="shared" si="0"/>
        <v>earth</v>
      </c>
      <c r="AI3" t="str">
        <f t="shared" si="0"/>
        <v>earth </v>
      </c>
      <c r="AK3" s="8" t="s">
        <v>0</v>
      </c>
      <c r="AL3" s="14"/>
      <c r="AQ3" s="2"/>
      <c r="AS3" s="2"/>
    </row>
    <row r="4" spans="19:37" ht="15">
      <c r="S4" s="17"/>
      <c r="T4" s="8" t="s">
        <v>0</v>
      </c>
      <c r="V4" t="s">
        <v>16</v>
      </c>
      <c r="W4" t="s">
        <v>62</v>
      </c>
      <c r="X4" t="s">
        <v>72</v>
      </c>
      <c r="Y4" t="s">
        <v>13</v>
      </c>
      <c r="Z4" t="s">
        <v>13</v>
      </c>
      <c r="AA4" t="s">
        <v>13</v>
      </c>
      <c r="AC4" s="1" t="s">
        <v>63</v>
      </c>
      <c r="AD4" t="s">
        <v>18</v>
      </c>
      <c r="AE4" t="s">
        <v>68</v>
      </c>
      <c r="AF4" t="s">
        <v>70</v>
      </c>
      <c r="AG4" t="str">
        <f t="shared" si="0"/>
        <v>press.</v>
      </c>
      <c r="AH4" t="str">
        <f t="shared" si="0"/>
        <v>press.</v>
      </c>
      <c r="AI4" t="str">
        <f t="shared" si="0"/>
        <v>press.</v>
      </c>
      <c r="AK4" s="8" t="s">
        <v>0</v>
      </c>
    </row>
    <row r="5" spans="19:43" ht="15">
      <c r="S5" s="17"/>
      <c r="T5" s="8" t="s">
        <v>0</v>
      </c>
      <c r="V5" s="3"/>
      <c r="W5" s="2"/>
      <c r="X5" s="2"/>
      <c r="Y5" s="4"/>
      <c r="Z5" s="4"/>
      <c r="AA5" s="4"/>
      <c r="AB5" s="4"/>
      <c r="AC5" s="5"/>
      <c r="AD5" s="2"/>
      <c r="AE5" s="2"/>
      <c r="AF5" s="2"/>
      <c r="AG5" s="4">
        <f>IF(V6,+$W$35*($L$11*AVERAGE(AF6,AE6)/($L$10+0.0001)),"")</f>
        <v>0.09125116949962093</v>
      </c>
      <c r="AH5" s="26">
        <f>($L$11*$W$37)</f>
        <v>0.07067872992944318</v>
      </c>
      <c r="AI5" s="26">
        <f>+IF($L$10=0,AH5,MINA(AH5,AG5))</f>
        <v>0.07067872992944318</v>
      </c>
      <c r="AJ5" s="4" t="str">
        <f>IF(AH5,IF(AI5=AH5,"Full Surch.","Sloping Ka"),"")</f>
        <v>Full Surch.</v>
      </c>
      <c r="AK5" s="8" t="s">
        <v>0</v>
      </c>
      <c r="AQ5" s="2"/>
    </row>
    <row r="6" spans="3:43" ht="15">
      <c r="C6" t="s">
        <v>46</v>
      </c>
      <c r="L6" s="33">
        <v>6</v>
      </c>
      <c r="M6" t="s">
        <v>19</v>
      </c>
      <c r="T6" s="8" t="s">
        <v>0</v>
      </c>
      <c r="U6">
        <f>IF(B23,MAXA($U$1:U5)+1,"")</f>
        <v>1</v>
      </c>
      <c r="V6" s="4">
        <f aca="true" t="shared" si="1" ref="V6:V31">B23</f>
        <v>-1E-12</v>
      </c>
      <c r="W6" s="2">
        <f aca="true" t="shared" si="2" ref="W6:W31">IF(V6,V6*TAN((45-$L$7/2)*PI()/180),"")</f>
        <v>-5.317094316614788E-13</v>
      </c>
      <c r="X6" s="2">
        <f>IF(V6,MINA($L$10,+W6/SIN((90-MINA($L$9,44)-(45-$L$7/2))*PI()/180)*SIN((90+(45-$L$7/2))*PI()/180)*SIN(MINA($L$9,44)*PI()/180)),"")</f>
        <v>-3.6201950579723254E-13</v>
      </c>
      <c r="Y6" s="4">
        <f>IF(V6,+$W$35*(V6*$L$8+$L$11*AVERAGE(X6,0)/($L$10+0.0001)),"")</f>
        <v>-5.996093294827474E-14</v>
      </c>
      <c r="Z6" s="4">
        <f>IF(V6,($L$11+$L$8*(V6+$L$10))*$W$37,"")</f>
        <v>0.14135745985885104</v>
      </c>
      <c r="AA6" s="4">
        <f>IF(V6,IF(0=$L$10,Z6,MINA(Z6,Y6)),"")</f>
        <v>-5.996093294827474E-14</v>
      </c>
      <c r="AB6" s="4" t="str">
        <f aca="true" t="shared" si="3" ref="AB6:AB31">IF(V6,IF(AA6=Z6,"Full Surch.","Sloping Ka"),"")</f>
        <v>Sloping Ka</v>
      </c>
      <c r="AC6" s="5">
        <f aca="true" t="shared" si="4" ref="AC6:AC31">IF(V6,($L$6-$B23)/TAN((45+$L$7/2)*PI()/180),"")</f>
        <v>3.1902565899694046</v>
      </c>
      <c r="AD6" s="2">
        <f aca="true" t="shared" si="5" ref="AD6:AD31">IF(AC6,IF(OR($L$9=0,$L$10/TAN(($L$9+0.000000001)*PI()/180)-AC6&lt;0),0,+$L$10/TAN(($L$9+0.000000001)*PI()/180)-AC6),"")</f>
        <v>0.8106251620393721</v>
      </c>
      <c r="AE6" s="2">
        <f aca="true" t="shared" si="6" ref="AE6:AE31">IF(AC6,IF(AD6&gt;0,+AC6*TAN($L$9*PI()/180),$L$10),"")</f>
        <v>1.5947767455153652</v>
      </c>
      <c r="AF6" s="2">
        <f aca="true" t="shared" si="7" ref="AF6:AF31">IF(V6,MINA($L$10,(AE6+V6)*TAN((45-$L$7/2)*PI()/180)/SIN((90-MINA($L$9,44)-(45-$L$7/2))*PI()/180)*SIN((90+(45-$L$7/2))*PI()/180)*SIN(MINA($L$9,44)*PI()/180)+AE6),"")</f>
        <v>2</v>
      </c>
      <c r="AG6" s="4">
        <f aca="true" t="shared" si="8" ref="AG6:AG31">IF(V6,+$W$35*((V6+AE6)*$L$8+$L$11*AVERAGE(AF6,AE6)/($L$10+0.0001)),"")</f>
        <v>0.17222004722628312</v>
      </c>
      <c r="AH6" s="4">
        <f>IF(V6,($L$11+$L$8*(V6+$L$10))*$W$37,"")</f>
        <v>0.14135745985885104</v>
      </c>
      <c r="AI6" s="4">
        <f aca="true" t="shared" si="9" ref="AI6:AI31">IF($V6,IF($L$10=0,AH6,MINA(AH6,AG6)),"")</f>
        <v>0.14135745985885104</v>
      </c>
      <c r="AJ6" s="4" t="str">
        <f aca="true" t="shared" si="10" ref="AJ6:AJ31">IF(AH6,IF(AI6=AH6,"Full Surch.","Sloping Ka"),"")</f>
        <v>Full Surch.</v>
      </c>
      <c r="AK6" s="8" t="s">
        <v>0</v>
      </c>
      <c r="AM6" s="14"/>
      <c r="AN6" s="4"/>
      <c r="AQ6" s="4"/>
    </row>
    <row r="7" spans="3:43" ht="15">
      <c r="C7" s="2" t="s">
        <v>45</v>
      </c>
      <c r="F7" s="2"/>
      <c r="L7" s="33">
        <v>34</v>
      </c>
      <c r="M7" s="2" t="s">
        <v>74</v>
      </c>
      <c r="T7" s="8" t="s">
        <v>0</v>
      </c>
      <c r="U7">
        <f>IF(B24,MAXA($U$1:U6)+1,"")</f>
        <v>2</v>
      </c>
      <c r="V7" s="4">
        <f t="shared" si="1"/>
        <v>0.999999999999</v>
      </c>
      <c r="W7" s="2">
        <f t="shared" si="2"/>
        <v>0.5317094316609471</v>
      </c>
      <c r="X7" s="2">
        <f aca="true" t="shared" si="11" ref="X7:X31">IF(V7,MINA($L$10,+W7/SIN((90-MINA($L$9,44)-(45-$L$7/2))*PI()/180)*SIN((90+(45-$L$7/2))*PI()/180)*SIN(MINA($L$9,44)*PI()/180)),"")</f>
        <v>0.3620195057968705</v>
      </c>
      <c r="Y7" s="4">
        <f aca="true" t="shared" si="12" ref="Y7:Y31">IF(V7,+$W$35*(V7*$L$8+$L$11*AVERAGE(X7,0)/($L$10+0.0001)),"")</f>
        <v>0.05996093294821477</v>
      </c>
      <c r="Z7" s="4">
        <f aca="true" t="shared" si="13" ref="Z7:Z31">IF(V7,($L$11+$L$8*(V7+$L$10))*$W$37,"")</f>
        <v>0.17669682482357263</v>
      </c>
      <c r="AA7" s="4">
        <f aca="true" t="shared" si="14" ref="AA7:AA31">IF(V7,IF(0=$L$10,Z7,MINA(Z7,Y7)),"")</f>
        <v>0.05996093294821477</v>
      </c>
      <c r="AB7" s="4" t="str">
        <f t="shared" si="3"/>
        <v>Sloping Ka</v>
      </c>
      <c r="AC7" s="5">
        <f t="shared" si="4"/>
        <v>2.658547158307926</v>
      </c>
      <c r="AD7" s="2">
        <f t="shared" si="5"/>
        <v>1.3423345937008508</v>
      </c>
      <c r="AE7" s="2">
        <f t="shared" si="6"/>
        <v>1.3289806212628485</v>
      </c>
      <c r="AF7" s="2">
        <f t="shared" si="7"/>
        <v>2</v>
      </c>
      <c r="AG7" s="4">
        <f t="shared" si="8"/>
        <v>0.20274945834280386</v>
      </c>
      <c r="AH7" s="4">
        <f aca="true" t="shared" si="15" ref="AH7:AH31">IF(V7,($L$11+$L$8*(V7+$L$10))*$W$37,"")</f>
        <v>0.17669682482357263</v>
      </c>
      <c r="AI7" s="4">
        <f t="shared" si="9"/>
        <v>0.17669682482357263</v>
      </c>
      <c r="AJ7" s="4" t="str">
        <f t="shared" si="10"/>
        <v>Full Surch.</v>
      </c>
      <c r="AK7" s="8" t="s">
        <v>0</v>
      </c>
      <c r="AL7" s="18"/>
      <c r="AM7" s="4"/>
      <c r="AN7" s="4"/>
      <c r="AQ7" s="4"/>
    </row>
    <row r="8" spans="3:43" ht="15">
      <c r="C8" t="s">
        <v>44</v>
      </c>
      <c r="L8" s="10">
        <v>0.125</v>
      </c>
      <c r="M8" s="2" t="s">
        <v>20</v>
      </c>
      <c r="T8" s="8" t="s">
        <v>0</v>
      </c>
      <c r="U8">
        <f>IF(B25,MAXA($U$1:U7)+1,"")</f>
        <v>3</v>
      </c>
      <c r="V8" s="4">
        <f t="shared" si="1"/>
        <v>1.999999999999</v>
      </c>
      <c r="W8" s="2">
        <f t="shared" si="2"/>
        <v>1.0634188633224257</v>
      </c>
      <c r="X8" s="2">
        <f t="shared" si="11"/>
        <v>0.7240390115941029</v>
      </c>
      <c r="Y8" s="4">
        <f t="shared" si="12"/>
        <v>0.11992186589648952</v>
      </c>
      <c r="Z8" s="4">
        <f t="shared" si="13"/>
        <v>0.21203618978829422</v>
      </c>
      <c r="AA8" s="4">
        <f t="shared" si="14"/>
        <v>0.11992186589648952</v>
      </c>
      <c r="AB8" s="4" t="str">
        <f t="shared" si="3"/>
        <v>Sloping Ka</v>
      </c>
      <c r="AC8" s="5">
        <f t="shared" si="4"/>
        <v>2.126837726646447</v>
      </c>
      <c r="AD8" s="2">
        <f t="shared" si="5"/>
        <v>1.8740440253623296</v>
      </c>
      <c r="AE8" s="2">
        <f t="shared" si="6"/>
        <v>1.0631844970103321</v>
      </c>
      <c r="AF8" s="2">
        <f t="shared" si="7"/>
        <v>2</v>
      </c>
      <c r="AG8" s="4">
        <f t="shared" si="8"/>
        <v>0.23327886945932463</v>
      </c>
      <c r="AH8" s="4">
        <f t="shared" si="15"/>
        <v>0.21203618978829422</v>
      </c>
      <c r="AI8" s="4">
        <f t="shared" si="9"/>
        <v>0.21203618978829422</v>
      </c>
      <c r="AJ8" s="4" t="str">
        <f t="shared" si="10"/>
        <v>Full Surch.</v>
      </c>
      <c r="AK8" s="8" t="s">
        <v>0</v>
      </c>
      <c r="AL8" s="18"/>
      <c r="AM8" s="4"/>
      <c r="AN8" s="4"/>
      <c r="AQ8" s="4"/>
    </row>
    <row r="9" spans="3:43" ht="15">
      <c r="C9" t="s">
        <v>42</v>
      </c>
      <c r="L9" s="33">
        <v>26.56</v>
      </c>
      <c r="M9" t="str">
        <f>"DEG."&amp;IF(L10=0,""," (WHICH WOULD BE A  "&amp;FIXED(1/TAN(L9*PI()/180),2,TRUE)&amp;"' : 1' SLOPE)")</f>
        <v>DEG. (WHICH WOULD BE A  2.00' : 1' SLOPE)</v>
      </c>
      <c r="N9" s="3"/>
      <c r="T9" s="8" t="s">
        <v>0</v>
      </c>
      <c r="U9">
        <f>IF(B26,MAXA($U$1:U8)+1,"")</f>
        <v>4</v>
      </c>
      <c r="V9" s="4">
        <f t="shared" si="1"/>
        <v>2.999999999999</v>
      </c>
      <c r="W9" s="2">
        <f t="shared" si="2"/>
        <v>1.5951282949839045</v>
      </c>
      <c r="X9" s="2">
        <f t="shared" si="11"/>
        <v>1.0860585173913353</v>
      </c>
      <c r="Y9" s="4">
        <f t="shared" si="12"/>
        <v>0.17988279884476424</v>
      </c>
      <c r="Z9" s="4">
        <f t="shared" si="13"/>
        <v>0.2473755547530158</v>
      </c>
      <c r="AA9" s="4">
        <f t="shared" si="14"/>
        <v>0.17988279884476424</v>
      </c>
      <c r="AB9" s="4" t="str">
        <f t="shared" si="3"/>
        <v>Sloping Ka</v>
      </c>
      <c r="AC9" s="5">
        <f t="shared" si="4"/>
        <v>1.595128294984968</v>
      </c>
      <c r="AD9" s="2">
        <f t="shared" si="5"/>
        <v>2.405753457023809</v>
      </c>
      <c r="AE9" s="2">
        <f t="shared" si="6"/>
        <v>0.7973883727578155</v>
      </c>
      <c r="AF9" s="2">
        <f t="shared" si="7"/>
        <v>2</v>
      </c>
      <c r="AG9" s="4">
        <f t="shared" si="8"/>
        <v>0.2638082805758454</v>
      </c>
      <c r="AH9" s="4">
        <f t="shared" si="15"/>
        <v>0.2473755547530158</v>
      </c>
      <c r="AI9" s="4">
        <f t="shared" si="9"/>
        <v>0.2473755547530158</v>
      </c>
      <c r="AJ9" s="4" t="str">
        <f t="shared" si="10"/>
        <v>Full Surch.</v>
      </c>
      <c r="AK9" s="8" t="s">
        <v>0</v>
      </c>
      <c r="AL9" s="18"/>
      <c r="AM9" s="4"/>
      <c r="AN9" s="4"/>
      <c r="AQ9" s="4"/>
    </row>
    <row r="10" spans="3:43" ht="15">
      <c r="C10" t="s">
        <v>43</v>
      </c>
      <c r="L10" s="33">
        <v>2</v>
      </c>
      <c r="M10" t="str">
        <f>"FT.    "&amp;IF(AND(L10=0,L9&lt;&gt;0),"EMBANK. HT. AND BETA ANGLE NOT CONSISTENT",IF(AND(L10+0.1&lt;=MAXA(X6:X31),L10&lt;&gt;0),"*NOTE:  BRAKE IN SLOPE OCCURES OVER REINFORCED MASS!*",""))</f>
        <v>FT.    </v>
      </c>
      <c r="T10" s="8" t="s">
        <v>0</v>
      </c>
      <c r="U10">
        <f>IF(B27,MAXA($U$1:U9)+1,"")</f>
        <v>5</v>
      </c>
      <c r="V10" s="4">
        <f t="shared" si="1"/>
        <v>3.999999999999</v>
      </c>
      <c r="W10" s="2">
        <f t="shared" si="2"/>
        <v>2.1268377266453835</v>
      </c>
      <c r="X10" s="2">
        <f t="shared" si="11"/>
        <v>1.448078023188568</v>
      </c>
      <c r="Y10" s="4">
        <f t="shared" si="12"/>
        <v>0.23984373179303897</v>
      </c>
      <c r="Z10" s="4">
        <f t="shared" si="13"/>
        <v>0.2827149197177374</v>
      </c>
      <c r="AA10" s="4">
        <f t="shared" si="14"/>
        <v>0.23984373179303897</v>
      </c>
      <c r="AB10" s="4" t="str">
        <f t="shared" si="3"/>
        <v>Sloping Ka</v>
      </c>
      <c r="AC10" s="5">
        <f t="shared" si="4"/>
        <v>1.0634188633234893</v>
      </c>
      <c r="AD10" s="2">
        <f t="shared" si="5"/>
        <v>2.937462888685287</v>
      </c>
      <c r="AE10" s="2">
        <f t="shared" si="6"/>
        <v>0.531592248505299</v>
      </c>
      <c r="AF10" s="2">
        <f t="shared" si="7"/>
        <v>2</v>
      </c>
      <c r="AG10" s="4">
        <f t="shared" si="8"/>
        <v>0.2943376916923662</v>
      </c>
      <c r="AH10" s="4">
        <f t="shared" si="15"/>
        <v>0.2827149197177374</v>
      </c>
      <c r="AI10" s="4">
        <f t="shared" si="9"/>
        <v>0.2827149197177374</v>
      </c>
      <c r="AJ10" s="4" t="str">
        <f t="shared" si="10"/>
        <v>Full Surch.</v>
      </c>
      <c r="AK10" s="8" t="s">
        <v>0</v>
      </c>
      <c r="AL10" s="18"/>
      <c r="AM10" s="4"/>
      <c r="AN10" s="4"/>
      <c r="AQ10" s="4"/>
    </row>
    <row r="11" spans="3:43" ht="15">
      <c r="C11" t="s">
        <v>41</v>
      </c>
      <c r="L11" s="9">
        <v>0.25</v>
      </c>
      <c r="M11" t="s">
        <v>21</v>
      </c>
      <c r="T11" s="8" t="s">
        <v>0</v>
      </c>
      <c r="U11">
        <f>IF(B28,MAXA($U$1:U10)+1,"")</f>
        <v>6</v>
      </c>
      <c r="V11" s="4">
        <f t="shared" si="1"/>
        <v>4.999999999999</v>
      </c>
      <c r="W11" s="2">
        <f t="shared" si="2"/>
        <v>2.6585471583068623</v>
      </c>
      <c r="X11" s="2">
        <f t="shared" si="11"/>
        <v>1.8100975289858003</v>
      </c>
      <c r="Y11" s="4">
        <f t="shared" si="12"/>
        <v>0.29980466474131373</v>
      </c>
      <c r="Z11" s="4">
        <f t="shared" si="13"/>
        <v>0.318054284682459</v>
      </c>
      <c r="AA11" s="4">
        <f t="shared" si="14"/>
        <v>0.29980466474131373</v>
      </c>
      <c r="AB11" s="4" t="str">
        <f t="shared" si="3"/>
        <v>Sloping Ka</v>
      </c>
      <c r="AC11" s="5">
        <f t="shared" si="4"/>
        <v>0.5317094316620106</v>
      </c>
      <c r="AD11" s="2">
        <f t="shared" si="5"/>
        <v>3.4691723203467664</v>
      </c>
      <c r="AE11" s="2">
        <f t="shared" si="6"/>
        <v>0.2657961242527824</v>
      </c>
      <c r="AF11" s="2">
        <f t="shared" si="7"/>
        <v>2</v>
      </c>
      <c r="AG11" s="4">
        <f t="shared" si="8"/>
        <v>0.3248671028088869</v>
      </c>
      <c r="AH11" s="4">
        <f t="shared" si="15"/>
        <v>0.318054284682459</v>
      </c>
      <c r="AI11" s="4">
        <f t="shared" si="9"/>
        <v>0.318054284682459</v>
      </c>
      <c r="AJ11" s="4" t="str">
        <f t="shared" si="10"/>
        <v>Full Surch.</v>
      </c>
      <c r="AK11" s="8" t="s">
        <v>0</v>
      </c>
      <c r="AL11" s="18"/>
      <c r="AM11" s="4"/>
      <c r="AN11" s="4"/>
      <c r="AQ11" s="4"/>
    </row>
    <row r="12" spans="3:43" ht="15.75">
      <c r="C12" t="s">
        <v>58</v>
      </c>
      <c r="L12" s="9">
        <v>0.67</v>
      </c>
      <c r="M12" s="27" t="s">
        <v>75</v>
      </c>
      <c r="T12" s="8" t="s">
        <v>0</v>
      </c>
      <c r="U12">
        <f>IF(B29,MAXA($U$1:U11)+1,"")</f>
        <v>7</v>
      </c>
      <c r="V12" s="4">
        <f t="shared" si="1"/>
        <v>5.999999999999</v>
      </c>
      <c r="W12" s="2">
        <f t="shared" si="2"/>
        <v>3.190256589968341</v>
      </c>
      <c r="X12" s="2">
        <f t="shared" si="11"/>
        <v>2</v>
      </c>
      <c r="Y12" s="4">
        <f t="shared" si="12"/>
        <v>0.3553965139253874</v>
      </c>
      <c r="Z12" s="4">
        <f t="shared" si="13"/>
        <v>0.35339364964718056</v>
      </c>
      <c r="AA12" s="4">
        <f t="shared" si="14"/>
        <v>0.35339364964718056</v>
      </c>
      <c r="AB12" s="4" t="str">
        <f t="shared" si="3"/>
        <v>Full Surch.</v>
      </c>
      <c r="AC12" s="5">
        <f t="shared" si="4"/>
        <v>5.317567009395897E-13</v>
      </c>
      <c r="AD12" s="2">
        <f t="shared" si="5"/>
        <v>4.000881752008245</v>
      </c>
      <c r="AE12" s="2">
        <f t="shared" si="6"/>
        <v>2.6581975368274655E-13</v>
      </c>
      <c r="AF12" s="2">
        <f t="shared" si="7"/>
        <v>2</v>
      </c>
      <c r="AG12" s="4">
        <f t="shared" si="8"/>
        <v>0.35539651392540766</v>
      </c>
      <c r="AH12" s="4">
        <f t="shared" si="15"/>
        <v>0.35339364964718056</v>
      </c>
      <c r="AI12" s="4">
        <f t="shared" si="9"/>
        <v>0.35339364964718056</v>
      </c>
      <c r="AJ12" s="4" t="str">
        <f t="shared" si="10"/>
        <v>Full Surch.</v>
      </c>
      <c r="AK12" s="8" t="s">
        <v>0</v>
      </c>
      <c r="AL12" s="18"/>
      <c r="AM12" s="4"/>
      <c r="AN12" s="4"/>
      <c r="AQ12" s="4"/>
    </row>
    <row r="13" spans="3:43" ht="15">
      <c r="C13" t="s">
        <v>48</v>
      </c>
      <c r="L13" s="33">
        <v>1</v>
      </c>
      <c r="M13" s="27" t="s">
        <v>76</v>
      </c>
      <c r="T13" s="8" t="s">
        <v>0</v>
      </c>
      <c r="U13">
        <f>IF(B30,MAXA($U$1:U12)+1,"")</f>
      </c>
      <c r="V13" s="4">
        <f t="shared" si="1"/>
      </c>
      <c r="W13" s="2">
        <f t="shared" si="2"/>
      </c>
      <c r="X13" s="2">
        <f t="shared" si="11"/>
      </c>
      <c r="Y13" s="4">
        <f t="shared" si="12"/>
      </c>
      <c r="Z13" s="4">
        <f t="shared" si="13"/>
      </c>
      <c r="AA13" s="4">
        <f t="shared" si="14"/>
      </c>
      <c r="AB13" s="4">
        <f t="shared" si="3"/>
      </c>
      <c r="AC13" s="5">
        <f t="shared" si="4"/>
      </c>
      <c r="AD13" s="2">
        <f t="shared" si="5"/>
      </c>
      <c r="AE13" s="2">
        <f t="shared" si="6"/>
      </c>
      <c r="AF13" s="2">
        <f t="shared" si="7"/>
      </c>
      <c r="AG13" s="4">
        <f t="shared" si="8"/>
      </c>
      <c r="AH13" s="4">
        <f t="shared" si="15"/>
      </c>
      <c r="AI13" s="4">
        <f t="shared" si="9"/>
      </c>
      <c r="AJ13" s="4">
        <f t="shared" si="10"/>
      </c>
      <c r="AK13" s="8" t="s">
        <v>0</v>
      </c>
      <c r="AL13" s="18"/>
      <c r="AM13" s="4"/>
      <c r="AN13" s="4"/>
      <c r="AQ13" s="4"/>
    </row>
    <row r="14" spans="3:43" ht="15">
      <c r="C14" t="s">
        <v>53</v>
      </c>
      <c r="L14" s="9">
        <f>3.46+3.66</f>
        <v>7.12</v>
      </c>
      <c r="M14" s="27" t="s">
        <v>77</v>
      </c>
      <c r="T14" s="8" t="s">
        <v>0</v>
      </c>
      <c r="U14">
        <f>IF(B31,MAXA($U$1:U13)+1,"")</f>
      </c>
      <c r="V14" s="4">
        <f t="shared" si="1"/>
      </c>
      <c r="W14" s="2">
        <f t="shared" si="2"/>
      </c>
      <c r="X14" s="2">
        <f t="shared" si="11"/>
      </c>
      <c r="Y14" s="4">
        <f t="shared" si="12"/>
      </c>
      <c r="Z14" s="4">
        <f t="shared" si="13"/>
      </c>
      <c r="AA14" s="4">
        <f t="shared" si="14"/>
      </c>
      <c r="AB14" s="4">
        <f t="shared" si="3"/>
      </c>
      <c r="AC14" s="5">
        <f t="shared" si="4"/>
      </c>
      <c r="AD14" s="2">
        <f t="shared" si="5"/>
      </c>
      <c r="AE14" s="2">
        <f t="shared" si="6"/>
      </c>
      <c r="AF14" s="2">
        <f t="shared" si="7"/>
      </c>
      <c r="AG14" s="4">
        <f t="shared" si="8"/>
      </c>
      <c r="AH14" s="4">
        <f t="shared" si="15"/>
      </c>
      <c r="AI14" s="4">
        <f t="shared" si="9"/>
      </c>
      <c r="AJ14" s="4">
        <f t="shared" si="10"/>
      </c>
      <c r="AK14" s="8" t="s">
        <v>0</v>
      </c>
      <c r="AL14" s="18"/>
      <c r="AM14" s="4"/>
      <c r="AN14" s="4"/>
      <c r="AQ14" s="4"/>
    </row>
    <row r="15" spans="3:43" ht="15">
      <c r="C15" t="s">
        <v>54</v>
      </c>
      <c r="L15" s="33">
        <v>3</v>
      </c>
      <c r="M15" s="27" t="s">
        <v>78</v>
      </c>
      <c r="N15" s="11"/>
      <c r="O15" s="11"/>
      <c r="P15" s="11"/>
      <c r="Q15" s="11"/>
      <c r="T15" s="8" t="s">
        <v>0</v>
      </c>
      <c r="U15">
        <f>IF(B32,MAXA($U$1:U14)+1,"")</f>
      </c>
      <c r="V15" s="4">
        <f t="shared" si="1"/>
      </c>
      <c r="W15" s="2">
        <f t="shared" si="2"/>
      </c>
      <c r="X15" s="2">
        <f t="shared" si="11"/>
      </c>
      <c r="Y15" s="4">
        <f t="shared" si="12"/>
      </c>
      <c r="Z15" s="4">
        <f t="shared" si="13"/>
      </c>
      <c r="AA15" s="4">
        <f t="shared" si="14"/>
      </c>
      <c r="AB15" s="4">
        <f t="shared" si="3"/>
      </c>
      <c r="AC15" s="5">
        <f t="shared" si="4"/>
      </c>
      <c r="AD15" s="2">
        <f t="shared" si="5"/>
      </c>
      <c r="AE15" s="2">
        <f t="shared" si="6"/>
      </c>
      <c r="AF15" s="2">
        <f t="shared" si="7"/>
      </c>
      <c r="AG15" s="4">
        <f t="shared" si="8"/>
      </c>
      <c r="AH15" s="4">
        <f t="shared" si="15"/>
      </c>
      <c r="AI15" s="4">
        <f t="shared" si="9"/>
      </c>
      <c r="AJ15" s="4">
        <f t="shared" si="10"/>
      </c>
      <c r="AK15" s="8" t="s">
        <v>0</v>
      </c>
      <c r="AL15" s="18"/>
      <c r="AM15" s="4"/>
      <c r="AN15" s="4"/>
      <c r="AQ15" s="4"/>
    </row>
    <row r="16" spans="1:43" ht="15">
      <c r="A16" s="20"/>
      <c r="B16" s="1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T16" s="8" t="s">
        <v>0</v>
      </c>
      <c r="U16">
        <f>IF(B33,MAXA($U$1:U15)+1,"")</f>
      </c>
      <c r="V16" s="4">
        <f t="shared" si="1"/>
      </c>
      <c r="W16" s="2">
        <f t="shared" si="2"/>
      </c>
      <c r="X16" s="2">
        <f t="shared" si="11"/>
      </c>
      <c r="Y16" s="4">
        <f t="shared" si="12"/>
      </c>
      <c r="Z16" s="4">
        <f t="shared" si="13"/>
      </c>
      <c r="AA16" s="4">
        <f t="shared" si="14"/>
      </c>
      <c r="AB16" s="4">
        <f t="shared" si="3"/>
      </c>
      <c r="AC16" s="5">
        <f t="shared" si="4"/>
      </c>
      <c r="AD16" s="2">
        <f t="shared" si="5"/>
      </c>
      <c r="AE16" s="2">
        <f t="shared" si="6"/>
      </c>
      <c r="AF16" s="2">
        <f t="shared" si="7"/>
      </c>
      <c r="AG16" s="4">
        <f t="shared" si="8"/>
      </c>
      <c r="AH16" s="4">
        <f t="shared" si="15"/>
      </c>
      <c r="AI16" s="4">
        <f t="shared" si="9"/>
      </c>
      <c r="AJ16" s="4">
        <f t="shared" si="10"/>
      </c>
      <c r="AK16" s="8" t="s">
        <v>0</v>
      </c>
      <c r="AL16" s="18"/>
      <c r="AM16" s="4"/>
      <c r="AN16" s="4"/>
      <c r="AQ16" s="4"/>
    </row>
    <row r="17" spans="1:43" ht="15">
      <c r="A17" s="20"/>
      <c r="B17" s="12"/>
      <c r="C17" s="12"/>
      <c r="D17" s="12" t="s">
        <v>49</v>
      </c>
      <c r="E17" s="12"/>
      <c r="F17" s="12" t="str">
        <f>+B19</f>
        <v>GEOTEXTILE</v>
      </c>
      <c r="G17" s="14"/>
      <c r="H17" s="12" t="s">
        <v>51</v>
      </c>
      <c r="I17" s="20"/>
      <c r="J17" s="20"/>
      <c r="K17" s="14"/>
      <c r="L17" s="12" t="s">
        <v>49</v>
      </c>
      <c r="M17" s="14"/>
      <c r="N17" s="12" t="str">
        <f>+F17</f>
        <v>GEOTEXTILE</v>
      </c>
      <c r="O17" s="12"/>
      <c r="P17" s="12" t="str">
        <f>+N17</f>
        <v>GEOTEXTILE</v>
      </c>
      <c r="Q17" s="20"/>
      <c r="T17" s="8" t="s">
        <v>0</v>
      </c>
      <c r="U17">
        <f>IF(B34,MAXA($U$1:U16)+1,"")</f>
      </c>
      <c r="V17" s="4">
        <f t="shared" si="1"/>
      </c>
      <c r="W17" s="2">
        <f t="shared" si="2"/>
      </c>
      <c r="X17" s="2">
        <f t="shared" si="11"/>
      </c>
      <c r="Y17" s="4">
        <f t="shared" si="12"/>
      </c>
      <c r="Z17" s="4">
        <f t="shared" si="13"/>
      </c>
      <c r="AA17" s="4">
        <f t="shared" si="14"/>
      </c>
      <c r="AB17" s="4">
        <f t="shared" si="3"/>
      </c>
      <c r="AC17" s="5">
        <f t="shared" si="4"/>
      </c>
      <c r="AD17" s="2">
        <f t="shared" si="5"/>
      </c>
      <c r="AE17" s="2">
        <f t="shared" si="6"/>
      </c>
      <c r="AF17" s="2">
        <f t="shared" si="7"/>
      </c>
      <c r="AG17" s="4">
        <f t="shared" si="8"/>
      </c>
      <c r="AH17" s="4">
        <f t="shared" si="15"/>
      </c>
      <c r="AI17" s="4">
        <f t="shared" si="9"/>
      </c>
      <c r="AJ17" s="4">
        <f t="shared" si="10"/>
      </c>
      <c r="AK17" s="8" t="s">
        <v>0</v>
      </c>
      <c r="AL17" s="18"/>
      <c r="AM17" s="4"/>
      <c r="AN17" s="4"/>
      <c r="AQ17" s="4"/>
    </row>
    <row r="18" spans="1:43" ht="15">
      <c r="A18" s="20"/>
      <c r="B18" s="12" t="s">
        <v>22</v>
      </c>
      <c r="C18" s="12"/>
      <c r="D18" s="12" t="s">
        <v>23</v>
      </c>
      <c r="E18" s="12"/>
      <c r="F18" s="12" t="s">
        <v>24</v>
      </c>
      <c r="G18" s="14"/>
      <c r="H18" s="12" t="s">
        <v>26</v>
      </c>
      <c r="I18" s="20"/>
      <c r="J18" s="12" t="s">
        <v>25</v>
      </c>
      <c r="K18" s="14"/>
      <c r="L18" s="12" t="s">
        <v>23</v>
      </c>
      <c r="M18" s="14"/>
      <c r="N18" s="12" t="s">
        <v>24</v>
      </c>
      <c r="O18" s="12"/>
      <c r="P18" s="12" t="s">
        <v>26</v>
      </c>
      <c r="Q18" s="20"/>
      <c r="T18" s="8" t="s">
        <v>0</v>
      </c>
      <c r="U18">
        <f>IF(B35,MAXA($U$1:U17)+1,"")</f>
      </c>
      <c r="V18" s="4">
        <f t="shared" si="1"/>
      </c>
      <c r="W18" s="2">
        <f t="shared" si="2"/>
      </c>
      <c r="X18" s="2">
        <f t="shared" si="11"/>
      </c>
      <c r="Y18" s="4">
        <f t="shared" si="12"/>
      </c>
      <c r="Z18" s="4">
        <f t="shared" si="13"/>
      </c>
      <c r="AA18" s="4">
        <f t="shared" si="14"/>
      </c>
      <c r="AB18" s="4">
        <f t="shared" si="3"/>
      </c>
      <c r="AC18" s="5">
        <f t="shared" si="4"/>
      </c>
      <c r="AD18" s="2">
        <f t="shared" si="5"/>
      </c>
      <c r="AE18" s="2">
        <f t="shared" si="6"/>
      </c>
      <c r="AF18" s="2">
        <f t="shared" si="7"/>
      </c>
      <c r="AG18" s="4">
        <f t="shared" si="8"/>
      </c>
      <c r="AH18" s="4">
        <f t="shared" si="15"/>
      </c>
      <c r="AI18" s="4">
        <f t="shared" si="9"/>
      </c>
      <c r="AJ18" s="4">
        <f t="shared" si="10"/>
      </c>
      <c r="AK18" s="8" t="s">
        <v>0</v>
      </c>
      <c r="AL18" s="18"/>
      <c r="AM18" s="4"/>
      <c r="AN18" s="4"/>
      <c r="AQ18" s="4"/>
    </row>
    <row r="19" spans="1:43" ht="15">
      <c r="A19" s="20"/>
      <c r="B19" s="12" t="s">
        <v>59</v>
      </c>
      <c r="C19" s="12"/>
      <c r="D19" s="12" t="s">
        <v>52</v>
      </c>
      <c r="E19" s="14"/>
      <c r="F19" s="12" t="str">
        <f>+D19</f>
        <v>AT WALL</v>
      </c>
      <c r="G19" s="14"/>
      <c r="H19" s="12" t="s">
        <v>29</v>
      </c>
      <c r="I19" s="20"/>
      <c r="J19" s="12" t="s">
        <v>27</v>
      </c>
      <c r="K19" s="14"/>
      <c r="L19" s="12" t="s">
        <v>28</v>
      </c>
      <c r="M19" s="14"/>
      <c r="N19" s="12" t="s">
        <v>28</v>
      </c>
      <c r="O19" s="12"/>
      <c r="P19" s="12" t="s">
        <v>29</v>
      </c>
      <c r="Q19" s="20"/>
      <c r="T19" s="8" t="s">
        <v>0</v>
      </c>
      <c r="U19">
        <f>IF(B36,MAXA($U$1:U18)+1,"")</f>
      </c>
      <c r="V19" s="4">
        <f t="shared" si="1"/>
      </c>
      <c r="W19" s="2">
        <f t="shared" si="2"/>
      </c>
      <c r="X19" s="2">
        <f t="shared" si="11"/>
      </c>
      <c r="Y19" s="4">
        <f t="shared" si="12"/>
      </c>
      <c r="Z19" s="4">
        <f t="shared" si="13"/>
      </c>
      <c r="AA19" s="4">
        <f t="shared" si="14"/>
      </c>
      <c r="AB19" s="4">
        <f t="shared" si="3"/>
      </c>
      <c r="AC19" s="5">
        <f t="shared" si="4"/>
      </c>
      <c r="AD19" s="2">
        <f t="shared" si="5"/>
      </c>
      <c r="AE19" s="2">
        <f t="shared" si="6"/>
      </c>
      <c r="AF19" s="2">
        <f t="shared" si="7"/>
      </c>
      <c r="AG19" s="4">
        <f t="shared" si="8"/>
      </c>
      <c r="AH19" s="4">
        <f t="shared" si="15"/>
      </c>
      <c r="AI19" s="4">
        <f t="shared" si="9"/>
      </c>
      <c r="AJ19" s="4">
        <f t="shared" si="10"/>
      </c>
      <c r="AK19" s="8" t="s">
        <v>0</v>
      </c>
      <c r="AL19" s="18"/>
      <c r="AM19" s="4"/>
      <c r="AN19" s="4"/>
      <c r="AQ19" s="4"/>
    </row>
    <row r="20" spans="1:43" ht="15" customHeight="1">
      <c r="A20" s="20"/>
      <c r="B20" s="12" t="s">
        <v>47</v>
      </c>
      <c r="C20" s="12"/>
      <c r="D20" s="12" t="s">
        <v>50</v>
      </c>
      <c r="E20" s="14"/>
      <c r="F20" s="12" t="str">
        <f>+D20</f>
        <v>FACE</v>
      </c>
      <c r="G20" s="14"/>
      <c r="H20" s="12" t="s">
        <v>31</v>
      </c>
      <c r="I20" s="20"/>
      <c r="J20" s="12" t="s">
        <v>30</v>
      </c>
      <c r="K20" s="14"/>
      <c r="L20" s="12" t="s">
        <v>30</v>
      </c>
      <c r="M20" s="14"/>
      <c r="N20" s="12" t="s">
        <v>30</v>
      </c>
      <c r="O20" s="12"/>
      <c r="P20" s="12" t="s">
        <v>31</v>
      </c>
      <c r="Q20" s="20"/>
      <c r="T20" s="8" t="s">
        <v>0</v>
      </c>
      <c r="U20">
        <f>IF(B37,MAXA($U$1:U19)+1,"")</f>
      </c>
      <c r="V20" s="4">
        <f t="shared" si="1"/>
      </c>
      <c r="W20" s="2">
        <f t="shared" si="2"/>
      </c>
      <c r="X20" s="2">
        <f t="shared" si="11"/>
      </c>
      <c r="Y20" s="4">
        <f t="shared" si="12"/>
      </c>
      <c r="Z20" s="4">
        <f t="shared" si="13"/>
      </c>
      <c r="AA20" s="4">
        <f t="shared" si="14"/>
      </c>
      <c r="AB20" s="4">
        <f t="shared" si="3"/>
      </c>
      <c r="AC20" s="5">
        <f t="shared" si="4"/>
      </c>
      <c r="AD20" s="2">
        <f t="shared" si="5"/>
      </c>
      <c r="AE20" s="2">
        <f t="shared" si="6"/>
      </c>
      <c r="AF20" s="2">
        <f t="shared" si="7"/>
      </c>
      <c r="AG20" s="4">
        <f t="shared" si="8"/>
      </c>
      <c r="AH20" s="4">
        <f t="shared" si="15"/>
      </c>
      <c r="AI20" s="4">
        <f t="shared" si="9"/>
      </c>
      <c r="AJ20" s="4">
        <f t="shared" si="10"/>
      </c>
      <c r="AK20" s="8" t="s">
        <v>0</v>
      </c>
      <c r="AL20" s="18"/>
      <c r="AM20" s="4"/>
      <c r="AN20" s="4"/>
      <c r="AQ20" s="4"/>
    </row>
    <row r="21" spans="1:43" ht="15.75" thickBot="1">
      <c r="A21" s="20"/>
      <c r="B21" s="13" t="s">
        <v>32</v>
      </c>
      <c r="C21" s="13"/>
      <c r="D21" s="13" t="s">
        <v>33</v>
      </c>
      <c r="E21" s="15"/>
      <c r="F21" s="13" t="s">
        <v>34</v>
      </c>
      <c r="G21" s="13"/>
      <c r="H21" s="13" t="s">
        <v>35</v>
      </c>
      <c r="I21" s="13"/>
      <c r="J21" s="13" t="s">
        <v>32</v>
      </c>
      <c r="K21" s="13"/>
      <c r="L21" s="13" t="s">
        <v>33</v>
      </c>
      <c r="M21" s="13"/>
      <c r="N21" s="13" t="s">
        <v>34</v>
      </c>
      <c r="O21" s="13"/>
      <c r="P21" s="13" t="s">
        <v>35</v>
      </c>
      <c r="Q21" s="20"/>
      <c r="T21" s="8" t="s">
        <v>0</v>
      </c>
      <c r="U21">
        <f>IF(B38,MAXA($U$1:U20)+1,"")</f>
      </c>
      <c r="V21" s="4">
        <f t="shared" si="1"/>
      </c>
      <c r="W21" s="2">
        <f t="shared" si="2"/>
      </c>
      <c r="X21" s="2">
        <f t="shared" si="11"/>
      </c>
      <c r="Y21" s="4">
        <f t="shared" si="12"/>
      </c>
      <c r="Z21" s="4">
        <f t="shared" si="13"/>
      </c>
      <c r="AA21" s="4">
        <f t="shared" si="14"/>
      </c>
      <c r="AB21" s="4">
        <f t="shared" si="3"/>
      </c>
      <c r="AC21" s="5">
        <f t="shared" si="4"/>
      </c>
      <c r="AD21" s="2">
        <f t="shared" si="5"/>
      </c>
      <c r="AE21" s="2">
        <f t="shared" si="6"/>
      </c>
      <c r="AF21" s="2">
        <f t="shared" si="7"/>
      </c>
      <c r="AG21" s="4">
        <f t="shared" si="8"/>
      </c>
      <c r="AH21" s="4">
        <f t="shared" si="15"/>
      </c>
      <c r="AI21" s="4">
        <f t="shared" si="9"/>
      </c>
      <c r="AJ21" s="4">
        <f t="shared" si="10"/>
      </c>
      <c r="AK21" s="8" t="s">
        <v>0</v>
      </c>
      <c r="AL21" s="18"/>
      <c r="AM21" s="4"/>
      <c r="AN21" s="4"/>
      <c r="AQ21" s="4"/>
    </row>
    <row r="22" spans="1:43" ht="15.75" thickTop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>
        <f>AI5</f>
        <v>0.07067872992944318</v>
      </c>
      <c r="M22" s="20"/>
      <c r="N22" s="20"/>
      <c r="O22" s="20"/>
      <c r="P22" s="20"/>
      <c r="Q22" s="20"/>
      <c r="T22" s="8" t="s">
        <v>0</v>
      </c>
      <c r="U22">
        <f>IF(B39,MAXA($U$1:U21)+1,"")</f>
      </c>
      <c r="V22" s="4">
        <f t="shared" si="1"/>
      </c>
      <c r="W22" s="2">
        <f t="shared" si="2"/>
      </c>
      <c r="X22" s="2">
        <f t="shared" si="11"/>
      </c>
      <c r="Y22" s="4">
        <f t="shared" si="12"/>
      </c>
      <c r="Z22" s="4">
        <f t="shared" si="13"/>
      </c>
      <c r="AA22" s="4">
        <f t="shared" si="14"/>
      </c>
      <c r="AB22" s="4">
        <f t="shared" si="3"/>
      </c>
      <c r="AC22" s="5">
        <f t="shared" si="4"/>
      </c>
      <c r="AD22" s="2">
        <f t="shared" si="5"/>
      </c>
      <c r="AE22" s="2">
        <f t="shared" si="6"/>
      </c>
      <c r="AF22" s="2">
        <f t="shared" si="7"/>
      </c>
      <c r="AG22" s="4">
        <f t="shared" si="8"/>
      </c>
      <c r="AH22" s="4">
        <f t="shared" si="15"/>
      </c>
      <c r="AI22" s="4">
        <f t="shared" si="9"/>
      </c>
      <c r="AJ22" s="4">
        <f t="shared" si="10"/>
      </c>
      <c r="AK22" s="8" t="s">
        <v>0</v>
      </c>
      <c r="AL22" s="18"/>
      <c r="AM22" s="4"/>
      <c r="AN22" s="4"/>
      <c r="AQ22" s="4"/>
    </row>
    <row r="23" spans="1:43" ht="15">
      <c r="A23" s="20"/>
      <c r="B23" s="22">
        <f>0-0.000000000001</f>
        <v>-1E-12</v>
      </c>
      <c r="C23" s="20"/>
      <c r="D23" s="21">
        <f aca="true" t="shared" si="16" ref="D23:D55">IF(B23="","",+AA6)</f>
        <v>-5.996093294827474E-14</v>
      </c>
      <c r="E23" s="20"/>
      <c r="F23" s="21"/>
      <c r="G23" s="20"/>
      <c r="H23" s="23"/>
      <c r="I23" s="20"/>
      <c r="J23" s="23">
        <f>IF(B23,AC6,"")</f>
        <v>3.1902565899694046</v>
      </c>
      <c r="K23" s="20"/>
      <c r="L23" s="21">
        <f>AI6</f>
        <v>0.14135745985885104</v>
      </c>
      <c r="M23" s="20"/>
      <c r="N23" s="21">
        <f>IF(J23,IF(J22=0,(L22+L23)/2*$AE$6+$L$23*0.5*$L$13,IF(J24=0,L23*0.5*$L$13,L23*$L$13)),"")</f>
        <v>0.2397539222704526</v>
      </c>
      <c r="O23" s="23"/>
      <c r="P23" s="23">
        <f aca="true" t="shared" si="17" ref="P23:P47">IF(B23,($L$14-J23)*2*0.6*$L$12*TAN($L$7*PI()/180)*$L$8*(AVERAGE(AE6,AF6)+B23+0.25)/N23,"")</f>
        <v>2.274847068845218</v>
      </c>
      <c r="Q23" s="25" t="str">
        <f>+IF(P23,IF(P23&gt;1.5,"OK","Incr. Reinf. Length"),"")</f>
        <v>OK</v>
      </c>
      <c r="T23" s="8" t="s">
        <v>0</v>
      </c>
      <c r="U23">
        <f>IF(B40,MAXA($U$1:U22)+1,"")</f>
      </c>
      <c r="V23" s="4">
        <f t="shared" si="1"/>
      </c>
      <c r="W23" s="2">
        <f t="shared" si="2"/>
      </c>
      <c r="X23" s="2">
        <f t="shared" si="11"/>
      </c>
      <c r="Y23" s="4">
        <f t="shared" si="12"/>
      </c>
      <c r="Z23" s="4">
        <f t="shared" si="13"/>
      </c>
      <c r="AA23" s="4">
        <f t="shared" si="14"/>
      </c>
      <c r="AB23" s="4">
        <f t="shared" si="3"/>
      </c>
      <c r="AC23" s="5">
        <f t="shared" si="4"/>
      </c>
      <c r="AD23" s="2">
        <f t="shared" si="5"/>
      </c>
      <c r="AE23" s="2">
        <f t="shared" si="6"/>
      </c>
      <c r="AF23" s="2">
        <f t="shared" si="7"/>
      </c>
      <c r="AG23" s="4">
        <f t="shared" si="8"/>
      </c>
      <c r="AH23" s="4">
        <f t="shared" si="15"/>
      </c>
      <c r="AI23" s="4">
        <f t="shared" si="9"/>
      </c>
      <c r="AJ23" s="4">
        <f t="shared" si="10"/>
      </c>
      <c r="AK23" s="8" t="s">
        <v>0</v>
      </c>
      <c r="AL23" s="18"/>
      <c r="AM23" s="4"/>
      <c r="AN23" s="4"/>
      <c r="AQ23" s="4"/>
    </row>
    <row r="24" spans="1:43" ht="15">
      <c r="A24" s="20"/>
      <c r="B24" s="24">
        <f>IF(OR(+$L$6&lt;B23+$L$13/12,B23=""),"",B23+$L$13)</f>
        <v>0.999999999999</v>
      </c>
      <c r="C24" s="20"/>
      <c r="D24" s="21">
        <f t="shared" si="16"/>
        <v>0.05996093294821477</v>
      </c>
      <c r="E24" s="20"/>
      <c r="F24" s="21">
        <f aca="true" t="shared" si="18" ref="F24:F84">IF(B25,D24*$L$13,"")</f>
        <v>0.05996093294821477</v>
      </c>
      <c r="G24" s="20"/>
      <c r="H24" s="23">
        <f aca="true" t="shared" si="19" ref="H24:H84">IF(B25,$L$15*2*0.6*$L$12*TAN($L$7*PI()/180)*$L$8*B24/F24,"")</f>
        <v>3.3916136362225013</v>
      </c>
      <c r="I24" s="20" t="str">
        <f aca="true" t="shared" si="20" ref="I24:I84">+IF(B25,IF(H24&gt;1.5,"OK","NG"),"")</f>
        <v>OK</v>
      </c>
      <c r="J24" s="23">
        <f>IF(B24,AC7,"")</f>
        <v>2.658547158307926</v>
      </c>
      <c r="K24" s="20"/>
      <c r="L24" s="21">
        <f>AI7</f>
        <v>0.17669682482357263</v>
      </c>
      <c r="M24" s="20"/>
      <c r="N24" s="21">
        <f>IF(J24,IF(J23=0,(L23+L24)/2*$AE$6+$L$23*0.5*$L$13,IF(J25=0,L24*0.5*$L$13,L24*$L$13)),"")</f>
        <v>0.17669682482357263</v>
      </c>
      <c r="O24" s="23"/>
      <c r="P24" s="23">
        <f t="shared" si="17"/>
        <v>4.988427637132369</v>
      </c>
      <c r="Q24" s="25" t="str">
        <f aca="true" t="shared" si="21" ref="Q24:Q63">+IF(P24,IF(P24&gt;1.5,"OK","Incr. Reinf. Length"),"")</f>
        <v>OK</v>
      </c>
      <c r="T24" s="8" t="s">
        <v>0</v>
      </c>
      <c r="U24">
        <f>IF(B41,MAXA($U$1:U23)+1,"")</f>
      </c>
      <c r="V24" s="4">
        <f t="shared" si="1"/>
      </c>
      <c r="W24" s="2">
        <f t="shared" si="2"/>
      </c>
      <c r="X24" s="2">
        <f t="shared" si="11"/>
      </c>
      <c r="Y24" s="4">
        <f t="shared" si="12"/>
      </c>
      <c r="Z24" s="4">
        <f t="shared" si="13"/>
      </c>
      <c r="AA24" s="4">
        <f t="shared" si="14"/>
      </c>
      <c r="AB24" s="4">
        <f t="shared" si="3"/>
      </c>
      <c r="AC24" s="5">
        <f t="shared" si="4"/>
      </c>
      <c r="AD24" s="2">
        <f t="shared" si="5"/>
      </c>
      <c r="AE24" s="2">
        <f t="shared" si="6"/>
      </c>
      <c r="AF24" s="2">
        <f t="shared" si="7"/>
      </c>
      <c r="AG24" s="4">
        <f t="shared" si="8"/>
      </c>
      <c r="AH24" s="4">
        <f t="shared" si="15"/>
      </c>
      <c r="AI24" s="4">
        <f t="shared" si="9"/>
      </c>
      <c r="AJ24" s="4">
        <f t="shared" si="10"/>
      </c>
      <c r="AK24" s="8" t="s">
        <v>0</v>
      </c>
      <c r="AL24" s="18"/>
      <c r="AM24" s="4"/>
      <c r="AN24" s="4"/>
      <c r="AQ24" s="4"/>
    </row>
    <row r="25" spans="1:43" ht="15">
      <c r="A25" s="20"/>
      <c r="B25" s="24">
        <f>IF(OR(+$L$6&lt;B24+$L$13/12,B24=""),"",B24+$L$13)</f>
        <v>1.999999999999</v>
      </c>
      <c r="C25" s="20"/>
      <c r="D25" s="21">
        <f t="shared" si="16"/>
        <v>0.11992186589648952</v>
      </c>
      <c r="E25" s="20"/>
      <c r="F25" s="21">
        <f t="shared" si="18"/>
        <v>0.11992186589648952</v>
      </c>
      <c r="G25" s="20"/>
      <c r="H25" s="23">
        <f t="shared" si="19"/>
        <v>3.391613636222501</v>
      </c>
      <c r="I25" s="20" t="str">
        <f t="shared" si="20"/>
        <v>OK</v>
      </c>
      <c r="J25" s="23">
        <f>IF(B25,AC8,"")</f>
        <v>2.126837726646447</v>
      </c>
      <c r="K25" s="20"/>
      <c r="L25" s="21">
        <f>AI8</f>
        <v>0.21203618978829422</v>
      </c>
      <c r="M25" s="20"/>
      <c r="N25" s="21">
        <f>IF(J25,IF(J24=0,(L24+L25)/2*$AE$6+$L$23*0.5*$L$13,IF(J26=0,L25*0.5*$L$13,L25*$L$13)),"")</f>
        <v>0.21203618978829422</v>
      </c>
      <c r="O25" s="23"/>
      <c r="P25" s="23">
        <f t="shared" si="17"/>
        <v>6.03662068535292</v>
      </c>
      <c r="Q25" s="25" t="str">
        <f t="shared" si="21"/>
        <v>OK</v>
      </c>
      <c r="T25" s="8" t="s">
        <v>0</v>
      </c>
      <c r="U25">
        <f>IF(B42,MAXA($U$1:U24)+1,"")</f>
      </c>
      <c r="V25" s="4">
        <f t="shared" si="1"/>
      </c>
      <c r="W25" s="2">
        <f t="shared" si="2"/>
      </c>
      <c r="X25" s="2">
        <f t="shared" si="11"/>
      </c>
      <c r="Y25" s="4">
        <f t="shared" si="12"/>
      </c>
      <c r="Z25" s="4">
        <f t="shared" si="13"/>
      </c>
      <c r="AA25" s="4">
        <f t="shared" si="14"/>
      </c>
      <c r="AB25" s="4">
        <f t="shared" si="3"/>
      </c>
      <c r="AC25" s="5">
        <f t="shared" si="4"/>
      </c>
      <c r="AD25" s="2">
        <f t="shared" si="5"/>
      </c>
      <c r="AE25" s="2">
        <f t="shared" si="6"/>
      </c>
      <c r="AF25" s="2">
        <f t="shared" si="7"/>
      </c>
      <c r="AG25" s="4">
        <f t="shared" si="8"/>
      </c>
      <c r="AH25" s="4">
        <f t="shared" si="15"/>
      </c>
      <c r="AI25" s="4">
        <f t="shared" si="9"/>
      </c>
      <c r="AJ25" s="4">
        <f t="shared" si="10"/>
      </c>
      <c r="AK25" s="8" t="s">
        <v>0</v>
      </c>
      <c r="AL25" s="18"/>
      <c r="AM25" s="4"/>
      <c r="AN25" s="4"/>
      <c r="AQ25" s="4"/>
    </row>
    <row r="26" spans="1:43" ht="15">
      <c r="A26" s="20"/>
      <c r="B26" s="24">
        <f aca="true" t="shared" si="22" ref="B26:B48">IF(OR(+$L$6&lt;B25+$L$13/12,B25=""),"",B25+$L$13)</f>
        <v>2.999999999999</v>
      </c>
      <c r="C26" s="20"/>
      <c r="D26" s="21">
        <f t="shared" si="16"/>
        <v>0.17988279884476424</v>
      </c>
      <c r="E26" s="20"/>
      <c r="F26" s="21">
        <f t="shared" si="18"/>
        <v>0.17988279884476424</v>
      </c>
      <c r="G26" s="20"/>
      <c r="H26" s="23">
        <f t="shared" si="19"/>
        <v>3.3916136362225013</v>
      </c>
      <c r="I26" s="20" t="str">
        <f t="shared" si="20"/>
        <v>OK</v>
      </c>
      <c r="J26" s="23">
        <f aca="true" t="shared" si="23" ref="J26:J48">IF(B26,AC9,"")</f>
        <v>1.595128294984968</v>
      </c>
      <c r="K26" s="20"/>
      <c r="L26" s="21">
        <f aca="true" t="shared" si="24" ref="L26:L48">AI9</f>
        <v>0.2473755547530158</v>
      </c>
      <c r="M26" s="20"/>
      <c r="N26" s="21">
        <f aca="true" t="shared" si="25" ref="N26:N48">IF(J26,IF(J25=0,(L25+L26)/2*$AE$6+$L$23*0.5*$L$13,IF(J27=0,L26*0.5*$L$13,L26*$L$13)),"")</f>
        <v>0.2473755547530158</v>
      </c>
      <c r="O26" s="23"/>
      <c r="P26" s="23">
        <f t="shared" si="17"/>
        <v>7.038010218864689</v>
      </c>
      <c r="Q26" s="25" t="str">
        <f t="shared" si="21"/>
        <v>OK</v>
      </c>
      <c r="T26" s="8" t="s">
        <v>0</v>
      </c>
      <c r="U26">
        <f>IF(B43,MAXA($U$1:U25)+1,"")</f>
      </c>
      <c r="V26" s="4">
        <f t="shared" si="1"/>
      </c>
      <c r="W26" s="2">
        <f t="shared" si="2"/>
      </c>
      <c r="X26" s="2">
        <f t="shared" si="11"/>
      </c>
      <c r="Y26" s="4">
        <f t="shared" si="12"/>
      </c>
      <c r="Z26" s="4">
        <f t="shared" si="13"/>
      </c>
      <c r="AA26" s="4">
        <f t="shared" si="14"/>
      </c>
      <c r="AB26" s="4">
        <f t="shared" si="3"/>
      </c>
      <c r="AC26" s="5">
        <f t="shared" si="4"/>
      </c>
      <c r="AD26" s="2">
        <f t="shared" si="5"/>
      </c>
      <c r="AE26" s="2">
        <f t="shared" si="6"/>
      </c>
      <c r="AF26" s="2">
        <f t="shared" si="7"/>
      </c>
      <c r="AG26" s="4">
        <f t="shared" si="8"/>
      </c>
      <c r="AH26" s="4">
        <f t="shared" si="15"/>
      </c>
      <c r="AI26" s="4">
        <f t="shared" si="9"/>
      </c>
      <c r="AJ26" s="4">
        <f t="shared" si="10"/>
      </c>
      <c r="AK26" s="8" t="s">
        <v>0</v>
      </c>
      <c r="AL26" s="18"/>
      <c r="AM26" s="4"/>
      <c r="AN26" s="4"/>
      <c r="AQ26" s="4"/>
    </row>
    <row r="27" spans="1:43" ht="15">
      <c r="A27" s="20"/>
      <c r="B27" s="24">
        <f t="shared" si="22"/>
        <v>3.999999999999</v>
      </c>
      <c r="C27" s="20"/>
      <c r="D27" s="21">
        <f t="shared" si="16"/>
        <v>0.23984373179303897</v>
      </c>
      <c r="E27" s="20"/>
      <c r="F27" s="21">
        <f t="shared" si="18"/>
        <v>0.23984373179303897</v>
      </c>
      <c r="G27" s="20"/>
      <c r="H27" s="23">
        <f t="shared" si="19"/>
        <v>3.3916136362225013</v>
      </c>
      <c r="I27" s="20" t="str">
        <f t="shared" si="20"/>
        <v>OK</v>
      </c>
      <c r="J27" s="23">
        <f t="shared" si="23"/>
        <v>1.0634188633234893</v>
      </c>
      <c r="K27" s="20"/>
      <c r="L27" s="21">
        <f t="shared" si="24"/>
        <v>0.2827149197177374</v>
      </c>
      <c r="M27" s="20"/>
      <c r="N27" s="21">
        <f t="shared" si="25"/>
        <v>0.2827149197177374</v>
      </c>
      <c r="O27" s="23"/>
      <c r="P27" s="23">
        <f t="shared" si="17"/>
        <v>8.01014755568347</v>
      </c>
      <c r="Q27" s="25" t="str">
        <f t="shared" si="21"/>
        <v>OK</v>
      </c>
      <c r="T27" s="8" t="s">
        <v>0</v>
      </c>
      <c r="U27">
        <f>IF(B44,MAXA($U$1:U26)+1,"")</f>
      </c>
      <c r="V27" s="4">
        <f t="shared" si="1"/>
      </c>
      <c r="W27" s="2">
        <f t="shared" si="2"/>
      </c>
      <c r="X27" s="2">
        <f t="shared" si="11"/>
      </c>
      <c r="Y27" s="4">
        <f t="shared" si="12"/>
      </c>
      <c r="Z27" s="4">
        <f t="shared" si="13"/>
      </c>
      <c r="AA27" s="4">
        <f t="shared" si="14"/>
      </c>
      <c r="AB27" s="4">
        <f t="shared" si="3"/>
      </c>
      <c r="AC27" s="5">
        <f t="shared" si="4"/>
      </c>
      <c r="AD27" s="2">
        <f t="shared" si="5"/>
      </c>
      <c r="AE27" s="2">
        <f t="shared" si="6"/>
      </c>
      <c r="AF27" s="2">
        <f t="shared" si="7"/>
      </c>
      <c r="AG27" s="4">
        <f t="shared" si="8"/>
      </c>
      <c r="AH27" s="4">
        <f t="shared" si="15"/>
      </c>
      <c r="AI27" s="4">
        <f t="shared" si="9"/>
      </c>
      <c r="AJ27" s="4">
        <f t="shared" si="10"/>
      </c>
      <c r="AK27" s="8" t="s">
        <v>0</v>
      </c>
      <c r="AL27" s="18"/>
      <c r="AM27" s="4"/>
      <c r="AN27" s="4"/>
      <c r="AP27" s="4"/>
      <c r="AQ27" s="4"/>
    </row>
    <row r="28" spans="1:43" ht="15">
      <c r="A28" s="20"/>
      <c r="B28" s="24">
        <f t="shared" si="22"/>
        <v>4.999999999999</v>
      </c>
      <c r="C28" s="20"/>
      <c r="D28" s="21">
        <f t="shared" si="16"/>
        <v>0.29980466474131373</v>
      </c>
      <c r="E28" s="20"/>
      <c r="F28" s="21">
        <f t="shared" si="18"/>
        <v>0.29980466474131373</v>
      </c>
      <c r="G28" s="20"/>
      <c r="H28" s="23">
        <f t="shared" si="19"/>
        <v>3.3916136362225013</v>
      </c>
      <c r="I28" s="20" t="str">
        <f t="shared" si="20"/>
        <v>OK</v>
      </c>
      <c r="J28" s="23">
        <f t="shared" si="23"/>
        <v>0.5317094316620106</v>
      </c>
      <c r="K28" s="20"/>
      <c r="L28" s="21">
        <f t="shared" si="24"/>
        <v>0.318054284682459</v>
      </c>
      <c r="M28" s="20"/>
      <c r="N28" s="21">
        <f t="shared" si="25"/>
        <v>0.318054284682459</v>
      </c>
      <c r="O28" s="23"/>
      <c r="P28" s="23">
        <f t="shared" si="17"/>
        <v>8.962783428040266</v>
      </c>
      <c r="Q28" s="25" t="str">
        <f t="shared" si="21"/>
        <v>OK</v>
      </c>
      <c r="T28" s="8" t="s">
        <v>0</v>
      </c>
      <c r="U28">
        <f>IF(B45,MAXA($U$1:U27)+1,"")</f>
      </c>
      <c r="V28" s="4">
        <f t="shared" si="1"/>
      </c>
      <c r="W28" s="2">
        <f t="shared" si="2"/>
      </c>
      <c r="X28" s="2">
        <f t="shared" si="11"/>
      </c>
      <c r="Y28" s="4">
        <f t="shared" si="12"/>
      </c>
      <c r="Z28" s="4">
        <f t="shared" si="13"/>
      </c>
      <c r="AA28" s="4">
        <f t="shared" si="14"/>
      </c>
      <c r="AB28" s="4">
        <f t="shared" si="3"/>
      </c>
      <c r="AC28" s="5">
        <f t="shared" si="4"/>
      </c>
      <c r="AD28" s="2">
        <f t="shared" si="5"/>
      </c>
      <c r="AE28" s="2">
        <f t="shared" si="6"/>
      </c>
      <c r="AF28" s="2">
        <f t="shared" si="7"/>
      </c>
      <c r="AG28" s="4">
        <f t="shared" si="8"/>
      </c>
      <c r="AH28" s="4">
        <f t="shared" si="15"/>
      </c>
      <c r="AI28" s="4">
        <f t="shared" si="9"/>
      </c>
      <c r="AJ28" s="4">
        <f t="shared" si="10"/>
      </c>
      <c r="AK28" s="8" t="s">
        <v>0</v>
      </c>
      <c r="AL28" s="18"/>
      <c r="AM28" s="4"/>
      <c r="AN28" s="4"/>
      <c r="AP28" s="4"/>
      <c r="AQ28" s="4"/>
    </row>
    <row r="29" spans="1:45" ht="15">
      <c r="A29" s="20"/>
      <c r="B29" s="24">
        <f t="shared" si="22"/>
        <v>5.999999999999</v>
      </c>
      <c r="C29" s="20"/>
      <c r="D29" s="21">
        <f t="shared" si="16"/>
        <v>0.35339364964718056</v>
      </c>
      <c r="E29" s="20"/>
      <c r="F29" s="21">
        <f t="shared" si="18"/>
      </c>
      <c r="G29" s="20"/>
      <c r="H29" s="23">
        <f t="shared" si="19"/>
      </c>
      <c r="I29" s="20">
        <f t="shared" si="20"/>
      </c>
      <c r="J29" s="23">
        <f t="shared" si="23"/>
        <v>5.317567009395897E-13</v>
      </c>
      <c r="K29" s="20"/>
      <c r="L29" s="21">
        <f t="shared" si="24"/>
        <v>0.35339364964718056</v>
      </c>
      <c r="M29" s="20"/>
      <c r="N29" s="21">
        <f t="shared" si="25"/>
        <v>0.17669682482359028</v>
      </c>
      <c r="O29" s="23"/>
      <c r="P29" s="23">
        <f t="shared" si="17"/>
        <v>19.80353655054734</v>
      </c>
      <c r="Q29" s="25" t="str">
        <f t="shared" si="21"/>
        <v>OK</v>
      </c>
      <c r="T29" s="8" t="s">
        <v>0</v>
      </c>
      <c r="U29">
        <f>IF(B46,MAXA($U$1:U28)+1,"")</f>
      </c>
      <c r="V29" s="4">
        <f t="shared" si="1"/>
      </c>
      <c r="W29" s="2">
        <f t="shared" si="2"/>
      </c>
      <c r="X29" s="2">
        <f t="shared" si="11"/>
      </c>
      <c r="Y29" s="4">
        <f t="shared" si="12"/>
      </c>
      <c r="Z29" s="4">
        <f t="shared" si="13"/>
      </c>
      <c r="AA29" s="4">
        <f t="shared" si="14"/>
      </c>
      <c r="AB29" s="4">
        <f t="shared" si="3"/>
      </c>
      <c r="AC29" s="5">
        <f t="shared" si="4"/>
      </c>
      <c r="AD29" s="2">
        <f t="shared" si="5"/>
      </c>
      <c r="AE29" s="2">
        <f t="shared" si="6"/>
      </c>
      <c r="AF29" s="2">
        <f t="shared" si="7"/>
      </c>
      <c r="AG29" s="4">
        <f t="shared" si="8"/>
      </c>
      <c r="AH29" s="4">
        <f t="shared" si="15"/>
      </c>
      <c r="AI29" s="4">
        <f t="shared" si="9"/>
      </c>
      <c r="AJ29" s="4">
        <f t="shared" si="10"/>
      </c>
      <c r="AK29" s="8" t="s">
        <v>0</v>
      </c>
      <c r="AL29" s="18"/>
      <c r="AM29" s="4"/>
      <c r="AN29" s="4"/>
      <c r="AP29" s="4"/>
      <c r="AQ29" s="4"/>
      <c r="AS29" s="2"/>
    </row>
    <row r="30" spans="1:45" ht="15">
      <c r="A30" s="20"/>
      <c r="B30" s="24">
        <f t="shared" si="22"/>
      </c>
      <c r="C30" s="20"/>
      <c r="D30" s="21">
        <f t="shared" si="16"/>
      </c>
      <c r="E30" s="20"/>
      <c r="F30" s="21">
        <f t="shared" si="18"/>
      </c>
      <c r="G30" s="20"/>
      <c r="H30" s="23">
        <f t="shared" si="19"/>
      </c>
      <c r="I30" s="20">
        <f t="shared" si="20"/>
      </c>
      <c r="J30" s="23">
        <f t="shared" si="23"/>
      </c>
      <c r="K30" s="20"/>
      <c r="L30" s="21">
        <f t="shared" si="24"/>
      </c>
      <c r="M30" s="20"/>
      <c r="N30" s="21">
        <f t="shared" si="25"/>
      </c>
      <c r="O30" s="23"/>
      <c r="P30" s="23">
        <f t="shared" si="17"/>
      </c>
      <c r="Q30" s="25">
        <f t="shared" si="21"/>
      </c>
      <c r="T30" s="8" t="s">
        <v>0</v>
      </c>
      <c r="U30">
        <f>IF(B47,MAXA($U$1:U29)+1,"")</f>
      </c>
      <c r="V30" s="4">
        <f t="shared" si="1"/>
      </c>
      <c r="W30" s="2">
        <f t="shared" si="2"/>
      </c>
      <c r="X30" s="2">
        <f t="shared" si="11"/>
      </c>
      <c r="Y30" s="4">
        <f t="shared" si="12"/>
      </c>
      <c r="Z30" s="4">
        <f t="shared" si="13"/>
      </c>
      <c r="AA30" s="4">
        <f t="shared" si="14"/>
      </c>
      <c r="AB30" s="4">
        <f t="shared" si="3"/>
      </c>
      <c r="AC30" s="5">
        <f t="shared" si="4"/>
      </c>
      <c r="AD30" s="2">
        <f t="shared" si="5"/>
      </c>
      <c r="AE30" s="2">
        <f t="shared" si="6"/>
      </c>
      <c r="AF30" s="2">
        <f t="shared" si="7"/>
      </c>
      <c r="AG30" s="4">
        <f t="shared" si="8"/>
      </c>
      <c r="AH30" s="4">
        <f t="shared" si="15"/>
      </c>
      <c r="AI30" s="4">
        <f t="shared" si="9"/>
      </c>
      <c r="AJ30" s="4">
        <f t="shared" si="10"/>
      </c>
      <c r="AK30" s="8" t="s">
        <v>0</v>
      </c>
      <c r="AL30" s="18"/>
      <c r="AM30" s="4"/>
      <c r="AN30" s="4"/>
      <c r="AP30" s="4"/>
      <c r="AQ30" s="4"/>
      <c r="AS30" s="2"/>
    </row>
    <row r="31" spans="1:45" ht="15">
      <c r="A31" s="20"/>
      <c r="B31" s="24">
        <f t="shared" si="22"/>
      </c>
      <c r="C31" s="20"/>
      <c r="D31" s="21">
        <f t="shared" si="16"/>
      </c>
      <c r="E31" s="20"/>
      <c r="F31" s="21">
        <f t="shared" si="18"/>
      </c>
      <c r="G31" s="20"/>
      <c r="H31" s="23">
        <f t="shared" si="19"/>
      </c>
      <c r="I31" s="20">
        <f t="shared" si="20"/>
      </c>
      <c r="J31" s="23">
        <f t="shared" si="23"/>
      </c>
      <c r="K31" s="20"/>
      <c r="L31" s="21">
        <f t="shared" si="24"/>
      </c>
      <c r="M31" s="20"/>
      <c r="N31" s="21">
        <f t="shared" si="25"/>
      </c>
      <c r="O31" s="23"/>
      <c r="P31" s="23">
        <f t="shared" si="17"/>
      </c>
      <c r="Q31" s="25">
        <f t="shared" si="21"/>
      </c>
      <c r="T31" s="8" t="s">
        <v>0</v>
      </c>
      <c r="U31">
        <f>IF(B48,MAXA($U$1:U30)+1,"")</f>
      </c>
      <c r="V31" s="4">
        <f t="shared" si="1"/>
      </c>
      <c r="W31" s="2">
        <f t="shared" si="2"/>
      </c>
      <c r="X31" s="2">
        <f t="shared" si="11"/>
      </c>
      <c r="Y31" s="4">
        <f t="shared" si="12"/>
      </c>
      <c r="Z31" s="4">
        <f t="shared" si="13"/>
      </c>
      <c r="AA31" s="4">
        <f t="shared" si="14"/>
      </c>
      <c r="AB31" s="4">
        <f t="shared" si="3"/>
      </c>
      <c r="AC31" s="5">
        <f t="shared" si="4"/>
      </c>
      <c r="AD31" s="2">
        <f t="shared" si="5"/>
      </c>
      <c r="AE31" s="2">
        <f t="shared" si="6"/>
      </c>
      <c r="AF31" s="2">
        <f t="shared" si="7"/>
      </c>
      <c r="AG31" s="4">
        <f t="shared" si="8"/>
      </c>
      <c r="AH31" s="4">
        <f t="shared" si="15"/>
      </c>
      <c r="AI31" s="4">
        <f t="shared" si="9"/>
      </c>
      <c r="AJ31" s="4">
        <f t="shared" si="10"/>
      </c>
      <c r="AK31" s="8" t="s">
        <v>0</v>
      </c>
      <c r="AL31" s="18"/>
      <c r="AM31" s="4"/>
      <c r="AN31" s="4"/>
      <c r="AP31" s="4"/>
      <c r="AQ31" s="4"/>
      <c r="AS31" s="2"/>
    </row>
    <row r="32" spans="1:45" ht="15">
      <c r="A32" s="20"/>
      <c r="B32" s="24">
        <f t="shared" si="22"/>
      </c>
      <c r="C32" s="20"/>
      <c r="D32" s="21">
        <f t="shared" si="16"/>
      </c>
      <c r="E32" s="20"/>
      <c r="F32" s="21">
        <f t="shared" si="18"/>
      </c>
      <c r="G32" s="20"/>
      <c r="H32" s="23">
        <f t="shared" si="19"/>
      </c>
      <c r="I32" s="20">
        <f t="shared" si="20"/>
      </c>
      <c r="J32" s="23">
        <f t="shared" si="23"/>
      </c>
      <c r="K32" s="20"/>
      <c r="L32" s="21">
        <f t="shared" si="24"/>
      </c>
      <c r="M32" s="20"/>
      <c r="N32" s="21">
        <f t="shared" si="25"/>
      </c>
      <c r="O32" s="23"/>
      <c r="P32" s="23">
        <f t="shared" si="17"/>
      </c>
      <c r="Q32" s="25">
        <f t="shared" si="21"/>
      </c>
      <c r="T32" s="8" t="s">
        <v>0</v>
      </c>
      <c r="U32" s="8" t="s">
        <v>0</v>
      </c>
      <c r="V32" s="8" t="s">
        <v>0</v>
      </c>
      <c r="W32" s="8" t="s">
        <v>0</v>
      </c>
      <c r="X32" s="8" t="s">
        <v>0</v>
      </c>
      <c r="Y32" s="8" t="s">
        <v>0</v>
      </c>
      <c r="Z32" s="8" t="s">
        <v>0</v>
      </c>
      <c r="AA32" s="8" t="s">
        <v>0</v>
      </c>
      <c r="AB32" s="8" t="s">
        <v>0</v>
      </c>
      <c r="AC32" s="8" t="s">
        <v>0</v>
      </c>
      <c r="AD32" s="8" t="s">
        <v>0</v>
      </c>
      <c r="AE32" s="8" t="s">
        <v>0</v>
      </c>
      <c r="AF32" s="8" t="s">
        <v>0</v>
      </c>
      <c r="AG32" s="8" t="s">
        <v>0</v>
      </c>
      <c r="AH32" s="8" t="s">
        <v>0</v>
      </c>
      <c r="AI32" s="8" t="s">
        <v>0</v>
      </c>
      <c r="AJ32" s="8" t="s">
        <v>0</v>
      </c>
      <c r="AK32" s="8" t="s">
        <v>0</v>
      </c>
      <c r="AL32" s="18"/>
      <c r="AP32" s="4"/>
      <c r="AQ32" s="4"/>
      <c r="AS32" s="2"/>
    </row>
    <row r="33" spans="1:45" ht="15">
      <c r="A33" s="20"/>
      <c r="B33" s="24">
        <f t="shared" si="22"/>
      </c>
      <c r="C33" s="20"/>
      <c r="D33" s="21">
        <f t="shared" si="16"/>
      </c>
      <c r="E33" s="20"/>
      <c r="F33" s="21">
        <f t="shared" si="18"/>
      </c>
      <c r="G33" s="20"/>
      <c r="H33" s="23">
        <f t="shared" si="19"/>
      </c>
      <c r="I33" s="20">
        <f t="shared" si="20"/>
      </c>
      <c r="J33" s="23">
        <f t="shared" si="23"/>
      </c>
      <c r="K33" s="20"/>
      <c r="L33" s="21">
        <f t="shared" si="24"/>
      </c>
      <c r="M33" s="20"/>
      <c r="N33" s="21">
        <f t="shared" si="25"/>
      </c>
      <c r="O33" s="23"/>
      <c r="P33" s="23">
        <f t="shared" si="17"/>
      </c>
      <c r="Q33" s="25">
        <f t="shared" si="21"/>
      </c>
      <c r="T33" s="8" t="s">
        <v>0</v>
      </c>
      <c r="U33" t="s">
        <v>36</v>
      </c>
      <c r="W33" s="2"/>
      <c r="X33" s="8" t="s">
        <v>0</v>
      </c>
      <c r="Y33" s="14"/>
      <c r="Z33" s="8"/>
      <c r="AA33" s="2"/>
      <c r="AB33" s="2"/>
      <c r="AC33" s="2"/>
      <c r="AD33" s="2"/>
      <c r="AE33" s="2"/>
      <c r="AF33" s="2"/>
      <c r="AN33" s="4"/>
      <c r="AO33" s="2"/>
      <c r="AP33" s="4"/>
      <c r="AQ33" s="4"/>
      <c r="AS33" s="2"/>
    </row>
    <row r="34" spans="1:45" ht="15">
      <c r="A34" s="20"/>
      <c r="B34" s="24">
        <f t="shared" si="22"/>
      </c>
      <c r="C34" s="20"/>
      <c r="D34" s="21">
        <f t="shared" si="16"/>
      </c>
      <c r="E34" s="20"/>
      <c r="F34" s="21">
        <f t="shared" si="18"/>
      </c>
      <c r="G34" s="20"/>
      <c r="H34" s="23">
        <f t="shared" si="19"/>
      </c>
      <c r="I34" s="20">
        <f t="shared" si="20"/>
      </c>
      <c r="J34" s="23">
        <f t="shared" si="23"/>
      </c>
      <c r="K34" s="20"/>
      <c r="L34" s="21">
        <f t="shared" si="24"/>
      </c>
      <c r="M34" s="20"/>
      <c r="N34" s="21">
        <f t="shared" si="25"/>
      </c>
      <c r="O34" s="23"/>
      <c r="P34" s="23">
        <f t="shared" si="17"/>
      </c>
      <c r="Q34" s="25">
        <f t="shared" si="21"/>
      </c>
      <c r="T34" s="8" t="s">
        <v>0</v>
      </c>
      <c r="X34" s="8" t="s">
        <v>0</v>
      </c>
      <c r="Y34" s="14"/>
      <c r="Z34" s="8"/>
      <c r="AA34" s="2"/>
      <c r="AB34" s="2"/>
      <c r="AC34" s="2"/>
      <c r="AD34" s="2"/>
      <c r="AE34" s="2"/>
      <c r="AF34" s="2"/>
      <c r="AN34" s="4"/>
      <c r="AO34" s="2"/>
      <c r="AP34" s="4"/>
      <c r="AQ34" s="4"/>
      <c r="AS34" s="2"/>
    </row>
    <row r="35" spans="1:44" ht="15">
      <c r="A35" s="20"/>
      <c r="B35" s="24">
        <f t="shared" si="22"/>
      </c>
      <c r="C35" s="20"/>
      <c r="D35" s="21">
        <f t="shared" si="16"/>
      </c>
      <c r="E35" s="20"/>
      <c r="F35" s="21">
        <f t="shared" si="18"/>
      </c>
      <c r="G35" s="20"/>
      <c r="H35" s="23">
        <f t="shared" si="19"/>
      </c>
      <c r="I35" s="20">
        <f t="shared" si="20"/>
      </c>
      <c r="J35" s="23">
        <f t="shared" si="23"/>
      </c>
      <c r="K35" s="20"/>
      <c r="L35" s="21">
        <f t="shared" si="24"/>
      </c>
      <c r="M35" s="20"/>
      <c r="N35" s="21">
        <f t="shared" si="25"/>
      </c>
      <c r="O35" s="23"/>
      <c r="P35" s="23">
        <f t="shared" si="17"/>
      </c>
      <c r="Q35" s="25">
        <f t="shared" si="21"/>
      </c>
      <c r="T35" s="8" t="s">
        <v>0</v>
      </c>
      <c r="U35" t="s">
        <v>37</v>
      </c>
      <c r="W35" s="4">
        <f>COS(MINA($L$9,$L$7)*PI()/180)*(COS(MINA($L$9,$L$7)*PI()/180)-SQRT(COS(MINA($L$9,$L$7)*PI()/180)^2-COS($L$7*PI()/180)^2))/(COS(MINA($L$9,$L$7)*PI()/180)+SQRT(COS(MINA($L$9,$L$7)*PI()/180)^2-COS($L$7*PI()/180)^2))</f>
        <v>0.4061703455579155</v>
      </c>
      <c r="X35" s="8" t="s">
        <v>0</v>
      </c>
      <c r="Y35" s="14"/>
      <c r="Z35" s="8"/>
      <c r="AA35" s="2"/>
      <c r="AB35" s="2"/>
      <c r="AC35" s="2"/>
      <c r="AD35" s="2"/>
      <c r="AE35" s="2"/>
      <c r="AF35" s="2"/>
      <c r="AN35" s="4"/>
      <c r="AO35" s="2"/>
      <c r="AP35" s="4"/>
      <c r="AR35" s="2"/>
    </row>
    <row r="36" spans="1:44" ht="15">
      <c r="A36" s="20"/>
      <c r="B36" s="24">
        <f t="shared" si="22"/>
      </c>
      <c r="C36" s="20"/>
      <c r="D36" s="21">
        <f t="shared" si="16"/>
      </c>
      <c r="E36" s="20"/>
      <c r="F36" s="21">
        <f t="shared" si="18"/>
      </c>
      <c r="G36" s="20"/>
      <c r="H36" s="23">
        <f t="shared" si="19"/>
      </c>
      <c r="I36" s="20">
        <f t="shared" si="20"/>
      </c>
      <c r="J36" s="23">
        <f t="shared" si="23"/>
      </c>
      <c r="K36" s="20"/>
      <c r="L36" s="21">
        <f t="shared" si="24"/>
      </c>
      <c r="M36" s="20"/>
      <c r="N36" s="21">
        <f t="shared" si="25"/>
      </c>
      <c r="O36" s="23"/>
      <c r="P36" s="23">
        <f t="shared" si="17"/>
      </c>
      <c r="Q36" s="25">
        <f t="shared" si="21"/>
      </c>
      <c r="T36" s="8" t="s">
        <v>0</v>
      </c>
      <c r="W36" s="2"/>
      <c r="X36" s="8" t="s">
        <v>0</v>
      </c>
      <c r="Y36" s="16"/>
      <c r="Z36" s="8"/>
      <c r="AA36" s="2"/>
      <c r="AB36" s="2"/>
      <c r="AC36" s="2"/>
      <c r="AD36" s="2"/>
      <c r="AE36" s="2"/>
      <c r="AF36" s="2"/>
      <c r="AN36" s="4"/>
      <c r="AO36" s="2"/>
      <c r="AP36" s="4"/>
      <c r="AR36" s="2"/>
    </row>
    <row r="37" spans="1:41" ht="15">
      <c r="A37" s="20"/>
      <c r="B37" s="24">
        <f t="shared" si="22"/>
      </c>
      <c r="C37" s="20"/>
      <c r="D37" s="21">
        <f t="shared" si="16"/>
      </c>
      <c r="E37" s="20"/>
      <c r="F37" s="21">
        <f t="shared" si="18"/>
      </c>
      <c r="G37" s="20"/>
      <c r="H37" s="23">
        <f t="shared" si="19"/>
      </c>
      <c r="I37" s="20">
        <f t="shared" si="20"/>
      </c>
      <c r="J37" s="23">
        <f t="shared" si="23"/>
      </c>
      <c r="K37" s="20"/>
      <c r="L37" s="21">
        <f t="shared" si="24"/>
      </c>
      <c r="M37" s="20"/>
      <c r="N37" s="21">
        <f t="shared" si="25"/>
      </c>
      <c r="O37" s="23"/>
      <c r="P37" s="23">
        <f t="shared" si="17"/>
      </c>
      <c r="Q37" s="25">
        <f t="shared" si="21"/>
      </c>
      <c r="T37" s="8" t="s">
        <v>0</v>
      </c>
      <c r="U37" t="s">
        <v>38</v>
      </c>
      <c r="W37" s="4">
        <f>TAN((45-$L$7/2)*PI()/180)^2</f>
        <v>0.28271491971777274</v>
      </c>
      <c r="X37" s="8" t="s">
        <v>0</v>
      </c>
      <c r="Y37" s="4" t="s">
        <v>57</v>
      </c>
      <c r="Z37" s="8"/>
      <c r="AA37" s="2"/>
      <c r="AB37" s="2"/>
      <c r="AC37" s="2"/>
      <c r="AD37" s="2"/>
      <c r="AE37" s="2"/>
      <c r="AF37" s="2"/>
      <c r="AN37" s="4"/>
      <c r="AO37" s="2"/>
    </row>
    <row r="38" spans="1:42" ht="15">
      <c r="A38" s="20"/>
      <c r="B38" s="24">
        <f t="shared" si="22"/>
      </c>
      <c r="C38" s="20"/>
      <c r="D38" s="21">
        <f t="shared" si="16"/>
      </c>
      <c r="E38" s="20"/>
      <c r="F38" s="21">
        <f t="shared" si="18"/>
      </c>
      <c r="G38" s="20"/>
      <c r="H38" s="23">
        <f t="shared" si="19"/>
      </c>
      <c r="I38" s="20">
        <f t="shared" si="20"/>
      </c>
      <c r="J38" s="23">
        <f t="shared" si="23"/>
      </c>
      <c r="K38" s="20"/>
      <c r="L38" s="21">
        <f t="shared" si="24"/>
      </c>
      <c r="M38" s="20"/>
      <c r="N38" s="21">
        <f t="shared" si="25"/>
      </c>
      <c r="O38" s="23"/>
      <c r="P38" s="23">
        <f t="shared" si="17"/>
      </c>
      <c r="Q38" s="25">
        <f t="shared" si="21"/>
      </c>
      <c r="T38" s="8" t="s">
        <v>0</v>
      </c>
      <c r="U38" s="8" t="s">
        <v>0</v>
      </c>
      <c r="V38" s="8" t="s">
        <v>0</v>
      </c>
      <c r="W38" s="8" t="s">
        <v>0</v>
      </c>
      <c r="X38" s="8" t="s">
        <v>0</v>
      </c>
      <c r="Y38" s="8" t="s">
        <v>57</v>
      </c>
      <c r="Z38" s="8" t="s">
        <v>57</v>
      </c>
      <c r="AA38" s="2"/>
      <c r="AB38" s="2"/>
      <c r="AC38" s="2"/>
      <c r="AD38" s="2"/>
      <c r="AE38" s="2"/>
      <c r="AF38" s="2"/>
      <c r="AN38" s="4"/>
      <c r="AO38" s="2"/>
      <c r="AP38" s="2"/>
    </row>
    <row r="39" spans="1:42" ht="15">
      <c r="A39" s="20"/>
      <c r="B39" s="24">
        <f t="shared" si="22"/>
      </c>
      <c r="C39" s="20"/>
      <c r="D39" s="21">
        <f t="shared" si="16"/>
      </c>
      <c r="E39" s="20"/>
      <c r="F39" s="21">
        <f t="shared" si="18"/>
      </c>
      <c r="G39" s="20"/>
      <c r="H39" s="23">
        <f t="shared" si="19"/>
      </c>
      <c r="I39" s="20">
        <f t="shared" si="20"/>
      </c>
      <c r="J39" s="23">
        <f t="shared" si="23"/>
      </c>
      <c r="K39" s="20"/>
      <c r="L39" s="21">
        <f t="shared" si="24"/>
      </c>
      <c r="M39" s="20"/>
      <c r="N39" s="21">
        <f t="shared" si="25"/>
      </c>
      <c r="O39" s="23"/>
      <c r="P39" s="23">
        <f t="shared" si="17"/>
      </c>
      <c r="Q39" s="25">
        <f t="shared" si="21"/>
      </c>
      <c r="T39" s="8" t="s">
        <v>0</v>
      </c>
      <c r="U39" t="s">
        <v>39</v>
      </c>
      <c r="V39" t="s">
        <v>40</v>
      </c>
      <c r="W39" s="8" t="s">
        <v>0</v>
      </c>
      <c r="Z39" s="2"/>
      <c r="AA39" s="2"/>
      <c r="AB39" s="2"/>
      <c r="AC39" s="2"/>
      <c r="AD39" s="2"/>
      <c r="AE39" s="2"/>
      <c r="AF39" s="2"/>
      <c r="AN39" s="4"/>
      <c r="AO39" s="2"/>
      <c r="AP39" s="2"/>
    </row>
    <row r="40" spans="1:42" ht="15">
      <c r="A40" s="20"/>
      <c r="B40" s="24">
        <f t="shared" si="22"/>
      </c>
      <c r="C40" s="20"/>
      <c r="D40" s="21">
        <f t="shared" si="16"/>
      </c>
      <c r="E40" s="20"/>
      <c r="F40" s="21">
        <f t="shared" si="18"/>
      </c>
      <c r="G40" s="20"/>
      <c r="H40" s="23">
        <f t="shared" si="19"/>
      </c>
      <c r="I40" s="20">
        <f t="shared" si="20"/>
      </c>
      <c r="J40" s="23">
        <f t="shared" si="23"/>
      </c>
      <c r="K40" s="20"/>
      <c r="L40" s="21">
        <f t="shared" si="24"/>
      </c>
      <c r="M40" s="20"/>
      <c r="N40" s="21">
        <f t="shared" si="25"/>
      </c>
      <c r="O40" s="23"/>
      <c r="P40" s="23">
        <f t="shared" si="17"/>
      </c>
      <c r="Q40" s="25">
        <f t="shared" si="21"/>
      </c>
      <c r="T40" s="8" t="s">
        <v>0</v>
      </c>
      <c r="U40" s="2"/>
      <c r="W40" s="8" t="s">
        <v>0</v>
      </c>
      <c r="X40" s="2"/>
      <c r="Z40" s="2"/>
      <c r="AA40" s="2"/>
      <c r="AB40" s="2"/>
      <c r="AC40" s="2"/>
      <c r="AD40" s="2"/>
      <c r="AE40" s="2"/>
      <c r="AF40" s="2"/>
      <c r="AN40" s="4"/>
      <c r="AO40" s="2"/>
      <c r="AP40" s="2"/>
    </row>
    <row r="41" spans="1:42" ht="15">
      <c r="A41" s="20"/>
      <c r="B41" s="24">
        <f t="shared" si="22"/>
      </c>
      <c r="C41" s="20"/>
      <c r="D41" s="21">
        <f t="shared" si="16"/>
      </c>
      <c r="E41" s="20"/>
      <c r="F41" s="21">
        <f t="shared" si="18"/>
      </c>
      <c r="G41" s="20"/>
      <c r="H41" s="23">
        <f t="shared" si="19"/>
      </c>
      <c r="I41" s="20">
        <f t="shared" si="20"/>
      </c>
      <c r="J41" s="23">
        <f t="shared" si="23"/>
      </c>
      <c r="K41" s="20"/>
      <c r="L41" s="21">
        <f t="shared" si="24"/>
      </c>
      <c r="M41" s="20"/>
      <c r="N41" s="21">
        <f t="shared" si="25"/>
      </c>
      <c r="O41" s="23"/>
      <c r="P41" s="23">
        <f t="shared" si="17"/>
      </c>
      <c r="Q41" s="25">
        <f t="shared" si="21"/>
      </c>
      <c r="T41" s="8" t="s">
        <v>0</v>
      </c>
      <c r="U41" s="2">
        <v>0.25</v>
      </c>
      <c r="V41">
        <v>0</v>
      </c>
      <c r="W41" s="8" t="s">
        <v>0</v>
      </c>
      <c r="X41" s="2"/>
      <c r="Z41" s="2"/>
      <c r="AA41" s="2"/>
      <c r="AB41" s="2"/>
      <c r="AC41" s="2"/>
      <c r="AD41" s="2"/>
      <c r="AE41" s="2"/>
      <c r="AF41" s="2"/>
      <c r="AN41" s="4"/>
      <c r="AO41" s="2"/>
      <c r="AP41" s="2"/>
    </row>
    <row r="42" spans="1:42" ht="15">
      <c r="A42" s="20"/>
      <c r="B42" s="24">
        <f t="shared" si="22"/>
      </c>
      <c r="C42" s="20"/>
      <c r="D42" s="21">
        <f t="shared" si="16"/>
      </c>
      <c r="E42" s="20"/>
      <c r="F42" s="21">
        <f t="shared" si="18"/>
      </c>
      <c r="G42" s="20"/>
      <c r="H42" s="23">
        <f t="shared" si="19"/>
      </c>
      <c r="I42" s="20">
        <f t="shared" si="20"/>
      </c>
      <c r="J42" s="23">
        <f t="shared" si="23"/>
      </c>
      <c r="K42" s="20"/>
      <c r="L42" s="21">
        <f t="shared" si="24"/>
      </c>
      <c r="M42" s="20"/>
      <c r="N42" s="21">
        <f t="shared" si="25"/>
      </c>
      <c r="O42" s="23"/>
      <c r="P42" s="23">
        <f t="shared" si="17"/>
      </c>
      <c r="Q42" s="25">
        <f t="shared" si="21"/>
      </c>
      <c r="T42" s="8" t="s">
        <v>0</v>
      </c>
      <c r="U42">
        <f>V42/TAN((L9+0.0000001)*PI()/180)</f>
        <v>4.000881734723922</v>
      </c>
      <c r="V42" s="2">
        <f>$L$10</f>
        <v>2</v>
      </c>
      <c r="W42" s="8" t="s">
        <v>0</v>
      </c>
      <c r="X42" s="2"/>
      <c r="Z42" s="2"/>
      <c r="AA42" s="2"/>
      <c r="AB42" s="2"/>
      <c r="AC42" s="2"/>
      <c r="AD42" s="2"/>
      <c r="AE42" s="2"/>
      <c r="AF42" s="2"/>
      <c r="AN42" s="4"/>
      <c r="AO42" s="2"/>
      <c r="AP42" s="2"/>
    </row>
    <row r="43" spans="1:42" ht="15">
      <c r="A43" s="20"/>
      <c r="B43" s="24">
        <f t="shared" si="22"/>
      </c>
      <c r="C43" s="20"/>
      <c r="D43" s="21">
        <f t="shared" si="16"/>
      </c>
      <c r="E43" s="20"/>
      <c r="F43" s="21">
        <f t="shared" si="18"/>
      </c>
      <c r="G43" s="20"/>
      <c r="H43" s="23">
        <f t="shared" si="19"/>
      </c>
      <c r="I43" s="20">
        <f t="shared" si="20"/>
      </c>
      <c r="J43" s="23">
        <f t="shared" si="23"/>
      </c>
      <c r="K43" s="20"/>
      <c r="L43" s="21">
        <f t="shared" si="24"/>
      </c>
      <c r="M43" s="20"/>
      <c r="N43" s="21">
        <f t="shared" si="25"/>
      </c>
      <c r="O43" s="23"/>
      <c r="P43" s="23">
        <f t="shared" si="17"/>
      </c>
      <c r="Q43" s="25">
        <f t="shared" si="21"/>
      </c>
      <c r="T43" s="8" t="s">
        <v>0</v>
      </c>
      <c r="U43" s="2">
        <f>MAXA(MAXA(L14)+2,+L10+L6)</f>
        <v>9.120000000000001</v>
      </c>
      <c r="V43">
        <f>V42</f>
        <v>2</v>
      </c>
      <c r="W43" s="8" t="s">
        <v>0</v>
      </c>
      <c r="X43" s="2"/>
      <c r="Z43" s="2"/>
      <c r="AA43" s="2"/>
      <c r="AB43" s="2"/>
      <c r="AC43" s="2"/>
      <c r="AD43" s="2"/>
      <c r="AE43" s="2"/>
      <c r="AF43" s="2"/>
      <c r="AN43" s="4"/>
      <c r="AO43" s="2"/>
      <c r="AP43" s="2"/>
    </row>
    <row r="44" spans="1:42" ht="15">
      <c r="A44" s="20"/>
      <c r="B44" s="24">
        <f t="shared" si="22"/>
      </c>
      <c r="C44" s="20"/>
      <c r="D44" s="21">
        <f t="shared" si="16"/>
      </c>
      <c r="E44" s="20"/>
      <c r="F44" s="21">
        <f t="shared" si="18"/>
      </c>
      <c r="G44" s="20"/>
      <c r="H44" s="23">
        <f t="shared" si="19"/>
      </c>
      <c r="I44" s="20">
        <f t="shared" si="20"/>
      </c>
      <c r="J44" s="23">
        <f t="shared" si="23"/>
      </c>
      <c r="K44" s="20"/>
      <c r="L44" s="21">
        <f t="shared" si="24"/>
      </c>
      <c r="M44" s="20"/>
      <c r="N44" s="21">
        <f t="shared" si="25"/>
      </c>
      <c r="O44" s="23"/>
      <c r="P44" s="23">
        <f t="shared" si="17"/>
      </c>
      <c r="Q44" s="25">
        <f t="shared" si="21"/>
      </c>
      <c r="T44" s="8" t="s">
        <v>0</v>
      </c>
      <c r="W44" s="8" t="s">
        <v>0</v>
      </c>
      <c r="X44" s="2"/>
      <c r="Z44" s="2"/>
      <c r="AA44" s="2"/>
      <c r="AB44" s="2"/>
      <c r="AC44" s="2"/>
      <c r="AD44" s="2"/>
      <c r="AE44" s="2"/>
      <c r="AF44" s="2"/>
      <c r="AN44" s="4"/>
      <c r="AO44" s="2"/>
      <c r="AP44" s="2"/>
    </row>
    <row r="45" spans="1:42" ht="15">
      <c r="A45" s="20"/>
      <c r="B45" s="24">
        <f t="shared" si="22"/>
      </c>
      <c r="C45" s="20"/>
      <c r="D45" s="21">
        <f t="shared" si="16"/>
      </c>
      <c r="E45" s="20"/>
      <c r="F45" s="21">
        <f t="shared" si="18"/>
      </c>
      <c r="G45" s="20"/>
      <c r="H45" s="23">
        <f t="shared" si="19"/>
      </c>
      <c r="I45" s="20">
        <f t="shared" si="20"/>
      </c>
      <c r="J45" s="23">
        <f t="shared" si="23"/>
      </c>
      <c r="K45" s="20"/>
      <c r="L45" s="21">
        <f t="shared" si="24"/>
      </c>
      <c r="M45" s="20"/>
      <c r="N45" s="21">
        <f t="shared" si="25"/>
      </c>
      <c r="O45" s="23"/>
      <c r="P45" s="23">
        <f t="shared" si="17"/>
      </c>
      <c r="Q45" s="25">
        <f t="shared" si="21"/>
      </c>
      <c r="T45" s="8" t="s">
        <v>0</v>
      </c>
      <c r="U45" s="2">
        <f>+U41</f>
        <v>0.25</v>
      </c>
      <c r="V45">
        <v>0</v>
      </c>
      <c r="W45" s="8" t="s">
        <v>0</v>
      </c>
      <c r="Y45" s="2"/>
      <c r="Z45" s="2"/>
      <c r="AA45" s="2"/>
      <c r="AB45" s="2"/>
      <c r="AC45" s="2"/>
      <c r="AD45" s="2"/>
      <c r="AE45" s="2"/>
      <c r="AF45" s="2"/>
      <c r="AN45" s="4"/>
      <c r="AO45" s="2"/>
      <c r="AP45" s="2"/>
    </row>
    <row r="46" spans="1:42" ht="15">
      <c r="A46" s="20"/>
      <c r="B46" s="24">
        <f t="shared" si="22"/>
      </c>
      <c r="C46" s="20"/>
      <c r="D46" s="21">
        <f t="shared" si="16"/>
      </c>
      <c r="E46" s="20"/>
      <c r="F46" s="21">
        <f t="shared" si="18"/>
      </c>
      <c r="G46" s="20"/>
      <c r="H46" s="23">
        <f t="shared" si="19"/>
      </c>
      <c r="I46" s="20">
        <f t="shared" si="20"/>
      </c>
      <c r="J46" s="23">
        <f t="shared" si="23"/>
      </c>
      <c r="K46" s="20"/>
      <c r="L46" s="21">
        <f t="shared" si="24"/>
      </c>
      <c r="M46" s="20"/>
      <c r="N46" s="21">
        <f t="shared" si="25"/>
      </c>
      <c r="O46" s="23"/>
      <c r="P46" s="23">
        <f t="shared" si="17"/>
      </c>
      <c r="Q46" s="25">
        <f t="shared" si="21"/>
      </c>
      <c r="T46" s="8" t="s">
        <v>0</v>
      </c>
      <c r="U46">
        <f>U42</f>
        <v>4.000881734723922</v>
      </c>
      <c r="V46" s="2">
        <f>$L$10+L11/L8</f>
        <v>4</v>
      </c>
      <c r="W46" s="8" t="s">
        <v>0</v>
      </c>
      <c r="X46" s="2"/>
      <c r="Z46" s="2"/>
      <c r="AA46" s="2"/>
      <c r="AB46" s="2"/>
      <c r="AC46" s="2"/>
      <c r="AD46" s="2"/>
      <c r="AE46" s="2"/>
      <c r="AF46" s="2"/>
      <c r="AN46" s="4"/>
      <c r="AO46" s="2"/>
      <c r="AP46" s="2"/>
    </row>
    <row r="47" spans="1:42" ht="15">
      <c r="A47" s="20"/>
      <c r="B47" s="24">
        <f t="shared" si="22"/>
      </c>
      <c r="C47" s="20"/>
      <c r="D47" s="21">
        <f t="shared" si="16"/>
      </c>
      <c r="E47" s="20"/>
      <c r="F47" s="21">
        <f t="shared" si="18"/>
      </c>
      <c r="G47" s="20"/>
      <c r="H47" s="23">
        <f t="shared" si="19"/>
      </c>
      <c r="I47" s="20">
        <f t="shared" si="20"/>
      </c>
      <c r="J47" s="23">
        <f t="shared" si="23"/>
      </c>
      <c r="K47" s="20"/>
      <c r="L47" s="21">
        <f t="shared" si="24"/>
      </c>
      <c r="M47" s="20"/>
      <c r="N47" s="21">
        <f t="shared" si="25"/>
      </c>
      <c r="O47" s="23"/>
      <c r="P47" s="23">
        <f t="shared" si="17"/>
      </c>
      <c r="Q47" s="25">
        <f t="shared" si="21"/>
      </c>
      <c r="T47" s="8" t="s">
        <v>0</v>
      </c>
      <c r="U47" s="2">
        <f>U43</f>
        <v>9.120000000000001</v>
      </c>
      <c r="V47">
        <f>V46</f>
        <v>4</v>
      </c>
      <c r="W47" s="8" t="s">
        <v>0</v>
      </c>
      <c r="X47" s="2"/>
      <c r="Z47" s="2"/>
      <c r="AA47" s="2"/>
      <c r="AB47" s="2"/>
      <c r="AC47" s="2"/>
      <c r="AD47" s="2"/>
      <c r="AE47" s="2"/>
      <c r="AF47" s="2"/>
      <c r="AN47" s="4"/>
      <c r="AO47" s="2"/>
      <c r="AP47" s="2"/>
    </row>
    <row r="48" spans="1:42" ht="15">
      <c r="A48" s="20"/>
      <c r="B48" s="24">
        <f t="shared" si="22"/>
      </c>
      <c r="C48" s="20"/>
      <c r="D48" s="21">
        <f t="shared" si="16"/>
      </c>
      <c r="E48" s="20"/>
      <c r="F48" s="21">
        <f t="shared" si="18"/>
      </c>
      <c r="G48" s="20"/>
      <c r="H48" s="23">
        <f t="shared" si="19"/>
      </c>
      <c r="I48" s="20">
        <f t="shared" si="20"/>
      </c>
      <c r="J48" s="23">
        <f t="shared" si="23"/>
      </c>
      <c r="K48" s="20"/>
      <c r="L48" s="21">
        <f t="shared" si="24"/>
      </c>
      <c r="M48" s="20"/>
      <c r="N48" s="21">
        <f t="shared" si="25"/>
      </c>
      <c r="O48" s="23"/>
      <c r="P48" s="23">
        <f>IF(B48,($L$14-J48)*2*0.6*$L$12*TAN($L$7*PI()/180)*$L$8*(AVERAGE(AE31,AF31)+B48+0.25)/N48,"")</f>
      </c>
      <c r="Q48" s="25">
        <f t="shared" si="21"/>
      </c>
      <c r="T48" s="8" t="s">
        <v>0</v>
      </c>
      <c r="W48" s="8" t="s">
        <v>0</v>
      </c>
      <c r="X48" s="2"/>
      <c r="Z48" s="2"/>
      <c r="AA48" s="2"/>
      <c r="AB48" s="2"/>
      <c r="AC48" s="2"/>
      <c r="AD48" s="2"/>
      <c r="AE48" s="2"/>
      <c r="AF48" s="2"/>
      <c r="AN48" s="4"/>
      <c r="AO48" s="2"/>
      <c r="AP48" s="2"/>
    </row>
    <row r="49" spans="1:42" ht="15">
      <c r="A49" s="20"/>
      <c r="B49" s="24"/>
      <c r="C49" s="20"/>
      <c r="D49" s="21"/>
      <c r="E49" s="20"/>
      <c r="F49" s="21"/>
      <c r="G49" s="20"/>
      <c r="H49" s="23"/>
      <c r="I49" s="20"/>
      <c r="J49" s="23"/>
      <c r="K49" s="20"/>
      <c r="L49" s="21"/>
      <c r="M49" s="20"/>
      <c r="N49" s="21"/>
      <c r="O49" s="23"/>
      <c r="P49" s="23"/>
      <c r="Q49" s="25"/>
      <c r="T49" s="8" t="s">
        <v>0</v>
      </c>
      <c r="U49">
        <f>+$L$14</f>
        <v>7.12</v>
      </c>
      <c r="V49">
        <v>-0.25</v>
      </c>
      <c r="W49" s="8" t="s">
        <v>0</v>
      </c>
      <c r="Y49" s="2"/>
      <c r="Z49" s="2"/>
      <c r="AA49" s="2"/>
      <c r="AB49" s="2"/>
      <c r="AC49" s="2"/>
      <c r="AD49" s="2"/>
      <c r="AE49" s="2"/>
      <c r="AF49" s="2"/>
      <c r="AN49" s="4"/>
      <c r="AO49" s="2"/>
      <c r="AP49" s="2"/>
    </row>
    <row r="50" spans="1:42" ht="15">
      <c r="A50" s="20"/>
      <c r="B50" s="24"/>
      <c r="C50" s="20"/>
      <c r="D50" s="21"/>
      <c r="E50" s="20"/>
      <c r="F50" s="21"/>
      <c r="G50" s="20"/>
      <c r="H50" s="23"/>
      <c r="I50" s="20"/>
      <c r="J50" s="23"/>
      <c r="K50" s="20"/>
      <c r="L50" s="21"/>
      <c r="M50" s="20"/>
      <c r="N50" s="21"/>
      <c r="O50" s="23"/>
      <c r="P50" s="23"/>
      <c r="Q50" s="25"/>
      <c r="T50" s="8" t="s">
        <v>0</v>
      </c>
      <c r="U50" s="2">
        <v>1</v>
      </c>
      <c r="V50">
        <f>+V49</f>
        <v>-0.25</v>
      </c>
      <c r="W50" s="8" t="s">
        <v>0</v>
      </c>
      <c r="X50" s="2"/>
      <c r="Z50" s="2"/>
      <c r="AA50" s="2"/>
      <c r="AB50" s="2"/>
      <c r="AC50" s="2"/>
      <c r="AD50" s="2"/>
      <c r="AE50" s="2"/>
      <c r="AF50" s="2"/>
      <c r="AN50" s="4"/>
      <c r="AO50" s="2"/>
      <c r="AP50" s="2"/>
    </row>
    <row r="51" spans="1:42" ht="15">
      <c r="A51" s="20"/>
      <c r="B51" s="24"/>
      <c r="C51" s="20"/>
      <c r="D51" s="21"/>
      <c r="E51" s="20"/>
      <c r="F51" s="21"/>
      <c r="G51" s="20"/>
      <c r="H51" s="23"/>
      <c r="I51" s="20"/>
      <c r="J51" s="23"/>
      <c r="K51" s="20"/>
      <c r="L51" s="21"/>
      <c r="M51" s="20"/>
      <c r="N51" s="21"/>
      <c r="O51" s="23"/>
      <c r="P51" s="23"/>
      <c r="Q51" s="25"/>
      <c r="T51" s="8" t="s">
        <v>0</v>
      </c>
      <c r="U51">
        <v>0.5</v>
      </c>
      <c r="V51">
        <v>0</v>
      </c>
      <c r="W51" s="8" t="s">
        <v>0</v>
      </c>
      <c r="Z51" s="2"/>
      <c r="AA51" s="2"/>
      <c r="AB51" s="2"/>
      <c r="AC51" s="2"/>
      <c r="AD51" s="2"/>
      <c r="AE51" s="2"/>
      <c r="AF51" s="2"/>
      <c r="AN51" s="4"/>
      <c r="AO51" s="2"/>
      <c r="AP51" s="2"/>
    </row>
    <row r="52" spans="1:42" ht="15">
      <c r="A52" s="20"/>
      <c r="B52" s="20"/>
      <c r="C52" s="20"/>
      <c r="D52" s="21"/>
      <c r="E52" s="20"/>
      <c r="F52" s="21"/>
      <c r="G52" s="20"/>
      <c r="H52" s="23"/>
      <c r="I52" s="20"/>
      <c r="J52" s="20"/>
      <c r="K52" s="20"/>
      <c r="L52" s="20"/>
      <c r="M52" s="20"/>
      <c r="N52" s="20"/>
      <c r="O52" s="20"/>
      <c r="P52" s="23"/>
      <c r="Q52" s="25"/>
      <c r="T52" s="8" t="s">
        <v>0</v>
      </c>
      <c r="U52" s="2">
        <v>0.25</v>
      </c>
      <c r="V52">
        <f>+V51</f>
        <v>0</v>
      </c>
      <c r="W52" s="8" t="s">
        <v>0</v>
      </c>
      <c r="Z52" s="2"/>
      <c r="AA52" s="2"/>
      <c r="AB52" s="2"/>
      <c r="AC52" s="2"/>
      <c r="AD52" s="2"/>
      <c r="AE52" s="2"/>
      <c r="AF52" s="2"/>
      <c r="AN52" s="4"/>
      <c r="AO52" s="2"/>
      <c r="AP52" s="2"/>
    </row>
    <row r="53" spans="1:42" ht="15">
      <c r="A53" s="20"/>
      <c r="B53" s="20"/>
      <c r="C53" s="20"/>
      <c r="D53" s="21"/>
      <c r="E53" s="20"/>
      <c r="F53" s="21"/>
      <c r="G53" s="20"/>
      <c r="H53" s="23"/>
      <c r="I53" s="20"/>
      <c r="J53" s="20"/>
      <c r="K53" s="20"/>
      <c r="L53" s="20"/>
      <c r="M53" s="20"/>
      <c r="N53" s="20"/>
      <c r="O53" s="20"/>
      <c r="P53" s="23"/>
      <c r="Q53" s="25"/>
      <c r="T53" s="8" t="s">
        <v>0</v>
      </c>
      <c r="U53" s="2">
        <v>0</v>
      </c>
      <c r="V53">
        <f>+V50</f>
        <v>-0.25</v>
      </c>
      <c r="W53" s="8" t="s">
        <v>0</v>
      </c>
      <c r="X53" s="2"/>
      <c r="Z53" s="2"/>
      <c r="AA53" s="2"/>
      <c r="AB53" s="2"/>
      <c r="AC53" s="2"/>
      <c r="AD53" s="2"/>
      <c r="AE53" s="2"/>
      <c r="AF53" s="2"/>
      <c r="AN53" s="4"/>
      <c r="AO53" s="2"/>
      <c r="AP53" s="2"/>
    </row>
    <row r="54" spans="1:42" ht="15">
      <c r="A54" s="20"/>
      <c r="B54" s="20"/>
      <c r="C54" s="20"/>
      <c r="D54" s="21"/>
      <c r="E54" s="20"/>
      <c r="F54" s="21"/>
      <c r="G54" s="20"/>
      <c r="H54" s="23"/>
      <c r="I54" s="20"/>
      <c r="J54" s="20"/>
      <c r="K54" s="20"/>
      <c r="L54" s="20"/>
      <c r="M54" s="20"/>
      <c r="N54" s="20"/>
      <c r="O54" s="20"/>
      <c r="P54" s="23"/>
      <c r="Q54" s="25"/>
      <c r="T54" s="8" t="s">
        <v>0</v>
      </c>
      <c r="U54" s="2">
        <v>0</v>
      </c>
      <c r="V54">
        <f>+V56+0.25</f>
        <v>-0.749999999999</v>
      </c>
      <c r="W54" s="8" t="s">
        <v>0</v>
      </c>
      <c r="Z54" s="2"/>
      <c r="AA54" s="2"/>
      <c r="AB54" s="2"/>
      <c r="AC54" s="2"/>
      <c r="AD54" s="2"/>
      <c r="AE54" s="2"/>
      <c r="AF54" s="2"/>
      <c r="AN54" s="4"/>
      <c r="AO54" s="2"/>
      <c r="AP54" s="2"/>
    </row>
    <row r="55" spans="1:42" ht="15">
      <c r="A55" s="20"/>
      <c r="B55" s="20"/>
      <c r="C55" s="20"/>
      <c r="D55" s="21">
        <f t="shared" si="16"/>
      </c>
      <c r="E55" s="20"/>
      <c r="F55" s="21">
        <f t="shared" si="18"/>
      </c>
      <c r="G55" s="20"/>
      <c r="H55" s="23">
        <f t="shared" si="19"/>
      </c>
      <c r="I55" s="20">
        <f t="shared" si="20"/>
      </c>
      <c r="J55" s="20"/>
      <c r="K55" s="20"/>
      <c r="L55" s="20"/>
      <c r="M55" s="20"/>
      <c r="N55" s="20"/>
      <c r="O55" s="20"/>
      <c r="P55" s="23">
        <f aca="true" t="shared" si="26" ref="P55:P87">IF(B55,($L$14-J55)*2*$L$12*TAN($L$7*PI()/180)*$L$8*(AE38+B55+0.25)/N55,"")</f>
      </c>
      <c r="Q55" s="25">
        <f t="shared" si="21"/>
      </c>
      <c r="T55" s="8" t="s">
        <v>0</v>
      </c>
      <c r="U55" s="2">
        <f>+U52</f>
        <v>0.25</v>
      </c>
      <c r="V55">
        <f>+V56</f>
        <v>-0.999999999999</v>
      </c>
      <c r="W55" s="8" t="s">
        <v>0</v>
      </c>
      <c r="X55" s="2"/>
      <c r="Z55" s="2"/>
      <c r="AA55" s="2"/>
      <c r="AB55" s="2"/>
      <c r="AC55" s="2"/>
      <c r="AD55" s="2"/>
      <c r="AE55" s="2"/>
      <c r="AF55" s="2"/>
      <c r="AN55" s="4"/>
      <c r="AO55" s="2"/>
      <c r="AP55" s="2"/>
    </row>
    <row r="56" spans="1:42" ht="15">
      <c r="A56" s="20"/>
      <c r="B56" s="20"/>
      <c r="C56" s="20"/>
      <c r="D56" s="21">
        <f aca="true" t="shared" si="27" ref="D56:D86">IF(B57="","",+AA39)</f>
      </c>
      <c r="E56" s="20"/>
      <c r="F56" s="21">
        <f t="shared" si="18"/>
      </c>
      <c r="G56" s="20"/>
      <c r="H56" s="23">
        <f t="shared" si="19"/>
      </c>
      <c r="I56" s="20">
        <f t="shared" si="20"/>
      </c>
      <c r="J56" s="20"/>
      <c r="K56" s="20"/>
      <c r="L56" s="20"/>
      <c r="M56" s="20"/>
      <c r="N56" s="20"/>
      <c r="O56" s="20"/>
      <c r="P56" s="23">
        <f t="shared" si="26"/>
      </c>
      <c r="Q56" s="25">
        <f t="shared" si="21"/>
      </c>
      <c r="T56" s="8" t="s">
        <v>0</v>
      </c>
      <c r="U56">
        <f>+U49</f>
        <v>7.12</v>
      </c>
      <c r="V56">
        <f>-B24</f>
        <v>-0.999999999999</v>
      </c>
      <c r="W56" s="8" t="s">
        <v>0</v>
      </c>
      <c r="X56" s="2"/>
      <c r="Z56" s="2"/>
      <c r="AA56" s="2"/>
      <c r="AB56" s="2"/>
      <c r="AC56" s="2"/>
      <c r="AD56" s="2"/>
      <c r="AE56" s="2"/>
      <c r="AF56" s="2"/>
      <c r="AN56" s="4"/>
      <c r="AO56" s="2"/>
      <c r="AP56" s="2"/>
    </row>
    <row r="57" spans="1:41" ht="15">
      <c r="A57" s="20"/>
      <c r="B57" s="20"/>
      <c r="C57" s="20"/>
      <c r="D57" s="21">
        <f t="shared" si="27"/>
      </c>
      <c r="E57" s="20"/>
      <c r="F57" s="21">
        <f t="shared" si="18"/>
      </c>
      <c r="G57" s="20"/>
      <c r="H57" s="23">
        <f t="shared" si="19"/>
      </c>
      <c r="I57" s="20">
        <f t="shared" si="20"/>
      </c>
      <c r="J57" s="20"/>
      <c r="K57" s="20"/>
      <c r="L57" s="20"/>
      <c r="M57" s="20"/>
      <c r="N57" s="20"/>
      <c r="O57" s="20"/>
      <c r="P57" s="23">
        <f t="shared" si="26"/>
      </c>
      <c r="Q57" s="25">
        <f t="shared" si="21"/>
      </c>
      <c r="T57" s="8" t="s">
        <v>0</v>
      </c>
      <c r="U57" s="2"/>
      <c r="W57" s="8" t="s">
        <v>0</v>
      </c>
      <c r="Z57" s="2"/>
      <c r="AA57" s="2"/>
      <c r="AB57" s="2"/>
      <c r="AC57" s="2"/>
      <c r="AD57" s="2"/>
      <c r="AE57" s="2"/>
      <c r="AF57" s="2"/>
      <c r="AN57" s="4"/>
      <c r="AO57" s="2"/>
    </row>
    <row r="58" spans="1:44" ht="15">
      <c r="A58" s="20"/>
      <c r="B58" s="20"/>
      <c r="C58" s="20"/>
      <c r="D58" s="21">
        <f t="shared" si="27"/>
      </c>
      <c r="E58" s="20"/>
      <c r="F58" s="21">
        <f t="shared" si="18"/>
      </c>
      <c r="G58" s="20"/>
      <c r="H58" s="23">
        <f t="shared" si="19"/>
      </c>
      <c r="I58" s="20">
        <f t="shared" si="20"/>
      </c>
      <c r="J58" s="20"/>
      <c r="K58" s="20"/>
      <c r="L58" s="20"/>
      <c r="M58" s="20"/>
      <c r="N58" s="20"/>
      <c r="O58" s="20"/>
      <c r="P58" s="23">
        <f t="shared" si="26"/>
      </c>
      <c r="Q58" s="25">
        <f t="shared" si="21"/>
      </c>
      <c r="T58" s="8" t="s">
        <v>0</v>
      </c>
      <c r="U58">
        <f>IF(V65=0,0,+$L$15)</f>
        <v>3</v>
      </c>
      <c r="V58" s="19">
        <f>IF(V65=0,0,-V7-0.25)</f>
        <v>-1.249999999999</v>
      </c>
      <c r="W58" s="8" t="s">
        <v>0</v>
      </c>
      <c r="Z58" s="2"/>
      <c r="AA58" s="2"/>
      <c r="AB58" s="2"/>
      <c r="AC58" s="2"/>
      <c r="AD58" s="2"/>
      <c r="AE58" s="2"/>
      <c r="AF58" s="2"/>
      <c r="AN58" s="4"/>
      <c r="AO58" s="2"/>
      <c r="AR58" s="4"/>
    </row>
    <row r="59" spans="1:44" ht="15">
      <c r="A59" s="20"/>
      <c r="B59" s="20"/>
      <c r="C59" s="20"/>
      <c r="D59" s="21">
        <f t="shared" si="27"/>
      </c>
      <c r="E59" s="20"/>
      <c r="F59" s="21">
        <f t="shared" si="18"/>
      </c>
      <c r="G59" s="20"/>
      <c r="H59" s="23">
        <f t="shared" si="19"/>
      </c>
      <c r="I59" s="20">
        <f t="shared" si="20"/>
      </c>
      <c r="J59" s="20"/>
      <c r="K59" s="20"/>
      <c r="L59" s="20"/>
      <c r="M59" s="20"/>
      <c r="N59" s="20"/>
      <c r="O59" s="20"/>
      <c r="P59" s="23">
        <f t="shared" si="26"/>
      </c>
      <c r="Q59" s="25">
        <f t="shared" si="21"/>
      </c>
      <c r="T59" s="8" t="s">
        <v>0</v>
      </c>
      <c r="U59" s="2">
        <f>IF(V65=0,0,1)</f>
        <v>1</v>
      </c>
      <c r="V59">
        <f>+V58</f>
        <v>-1.249999999999</v>
      </c>
      <c r="W59" s="8" t="s">
        <v>0</v>
      </c>
      <c r="X59" s="2"/>
      <c r="Z59" s="2"/>
      <c r="AA59" s="2"/>
      <c r="AB59" s="2"/>
      <c r="AC59" s="2"/>
      <c r="AD59" s="2"/>
      <c r="AE59" s="2"/>
      <c r="AF59" s="2"/>
      <c r="AN59" s="4"/>
      <c r="AO59" s="2"/>
      <c r="AR59" s="4"/>
    </row>
    <row r="60" spans="1:44" ht="15">
      <c r="A60" s="20"/>
      <c r="B60" s="20"/>
      <c r="C60" s="20"/>
      <c r="D60" s="21">
        <f t="shared" si="27"/>
      </c>
      <c r="E60" s="20"/>
      <c r="F60" s="21">
        <f t="shared" si="18"/>
      </c>
      <c r="G60" s="20"/>
      <c r="H60" s="23">
        <f t="shared" si="19"/>
      </c>
      <c r="I60" s="20">
        <f t="shared" si="20"/>
      </c>
      <c r="J60" s="20"/>
      <c r="K60" s="20"/>
      <c r="L60" s="20"/>
      <c r="M60" s="20"/>
      <c r="N60" s="20"/>
      <c r="O60" s="20"/>
      <c r="P60" s="23">
        <f t="shared" si="26"/>
      </c>
      <c r="Q60" s="25">
        <f t="shared" si="21"/>
      </c>
      <c r="T60" s="8" t="s">
        <v>0</v>
      </c>
      <c r="U60">
        <f>IF(V65=0,0,0.5)</f>
        <v>0.5</v>
      </c>
      <c r="V60">
        <f>IF(V65=0,0,+V59+0.25)</f>
        <v>-0.9999999999989999</v>
      </c>
      <c r="W60" s="8" t="s">
        <v>0</v>
      </c>
      <c r="Z60" s="2"/>
      <c r="AA60" s="2"/>
      <c r="AB60" s="2"/>
      <c r="AC60" s="2"/>
      <c r="AD60" s="2"/>
      <c r="AE60" s="2"/>
      <c r="AF60" s="2"/>
      <c r="AN60" s="4"/>
      <c r="AO60" s="2"/>
      <c r="AR60" s="4"/>
    </row>
    <row r="61" spans="1:44" ht="15">
      <c r="A61" s="20"/>
      <c r="B61" s="20"/>
      <c r="C61" s="20"/>
      <c r="D61" s="21">
        <f t="shared" si="27"/>
      </c>
      <c r="E61" s="20"/>
      <c r="F61" s="21">
        <f t="shared" si="18"/>
      </c>
      <c r="G61" s="20"/>
      <c r="H61" s="23">
        <f t="shared" si="19"/>
      </c>
      <c r="I61" s="20">
        <f t="shared" si="20"/>
      </c>
      <c r="J61" s="20"/>
      <c r="K61" s="20"/>
      <c r="L61" s="20"/>
      <c r="M61" s="20"/>
      <c r="N61" s="20"/>
      <c r="O61" s="20"/>
      <c r="P61" s="23">
        <f t="shared" si="26"/>
      </c>
      <c r="Q61" s="25">
        <f t="shared" si="21"/>
      </c>
      <c r="T61" s="8" t="s">
        <v>0</v>
      </c>
      <c r="U61" s="2">
        <f>IF(V65=0,0,0.25)</f>
        <v>0.25</v>
      </c>
      <c r="V61">
        <f>+V60</f>
        <v>-0.9999999999989999</v>
      </c>
      <c r="W61" s="8" t="s">
        <v>0</v>
      </c>
      <c r="Z61" s="2"/>
      <c r="AA61" s="2"/>
      <c r="AB61" s="2"/>
      <c r="AC61" s="2"/>
      <c r="AD61" s="2"/>
      <c r="AE61" s="2"/>
      <c r="AF61" s="2"/>
      <c r="AN61" s="4"/>
      <c r="AO61" s="2"/>
      <c r="AR61" s="4"/>
    </row>
    <row r="62" spans="1:44" ht="15">
      <c r="A62" s="20"/>
      <c r="B62" s="20"/>
      <c r="C62" s="20"/>
      <c r="D62" s="21">
        <f t="shared" si="27"/>
      </c>
      <c r="E62" s="20"/>
      <c r="F62" s="21">
        <f t="shared" si="18"/>
      </c>
      <c r="G62" s="20"/>
      <c r="H62" s="23">
        <f t="shared" si="19"/>
      </c>
      <c r="I62" s="20">
        <f t="shared" si="20"/>
      </c>
      <c r="J62" s="20"/>
      <c r="K62" s="20"/>
      <c r="L62" s="20"/>
      <c r="M62" s="20"/>
      <c r="N62" s="20"/>
      <c r="O62" s="20"/>
      <c r="P62" s="23">
        <f t="shared" si="26"/>
      </c>
      <c r="Q62" s="25">
        <f t="shared" si="21"/>
      </c>
      <c r="T62" s="8" t="s">
        <v>0</v>
      </c>
      <c r="U62" s="2">
        <v>0</v>
      </c>
      <c r="V62">
        <f>+V59</f>
        <v>-1.249999999999</v>
      </c>
      <c r="W62" s="8" t="s">
        <v>0</v>
      </c>
      <c r="X62" s="2"/>
      <c r="Z62" s="2"/>
      <c r="AA62" s="2"/>
      <c r="AB62" s="2"/>
      <c r="AC62" s="2"/>
      <c r="AD62" s="2"/>
      <c r="AE62" s="2"/>
      <c r="AF62" s="2"/>
      <c r="AN62" s="4"/>
      <c r="AO62" s="2"/>
      <c r="AR62" s="4"/>
    </row>
    <row r="63" spans="1:44" ht="15">
      <c r="A63" s="20"/>
      <c r="B63" s="20"/>
      <c r="C63" s="20"/>
      <c r="D63" s="21">
        <f t="shared" si="27"/>
      </c>
      <c r="E63" s="20"/>
      <c r="F63" s="21">
        <f t="shared" si="18"/>
      </c>
      <c r="G63" s="20"/>
      <c r="H63" s="23">
        <f t="shared" si="19"/>
      </c>
      <c r="I63" s="20">
        <f t="shared" si="20"/>
      </c>
      <c r="J63" s="20"/>
      <c r="K63" s="20"/>
      <c r="L63" s="20"/>
      <c r="M63" s="20"/>
      <c r="N63" s="20"/>
      <c r="O63" s="20"/>
      <c r="P63" s="23">
        <f t="shared" si="26"/>
      </c>
      <c r="Q63" s="25">
        <f t="shared" si="21"/>
      </c>
      <c r="T63" s="8" t="s">
        <v>0</v>
      </c>
      <c r="U63" s="2">
        <v>0</v>
      </c>
      <c r="V63">
        <f>IF(V65=0,0,+V65+0.25)</f>
        <v>-1.749999999999</v>
      </c>
      <c r="W63" s="8" t="s">
        <v>0</v>
      </c>
      <c r="Z63" s="2"/>
      <c r="AA63" s="2"/>
      <c r="AB63" s="2"/>
      <c r="AC63" s="2"/>
      <c r="AD63" s="2"/>
      <c r="AE63" s="2"/>
      <c r="AF63" s="2"/>
      <c r="AN63" s="4"/>
      <c r="AO63" s="2"/>
      <c r="AR63" s="4"/>
    </row>
    <row r="64" spans="1:44" ht="15">
      <c r="A64" s="20"/>
      <c r="B64" s="20"/>
      <c r="C64" s="20"/>
      <c r="D64" s="21">
        <f t="shared" si="27"/>
      </c>
      <c r="E64" s="20"/>
      <c r="F64" s="21">
        <f t="shared" si="18"/>
      </c>
      <c r="G64" s="20"/>
      <c r="H64" s="23">
        <f t="shared" si="19"/>
      </c>
      <c r="I64" s="20">
        <f t="shared" si="20"/>
      </c>
      <c r="J64" s="20"/>
      <c r="K64" s="20"/>
      <c r="L64" s="20"/>
      <c r="M64" s="20"/>
      <c r="N64" s="20"/>
      <c r="O64" s="20"/>
      <c r="P64" s="23">
        <f t="shared" si="26"/>
      </c>
      <c r="Q64" s="20"/>
      <c r="T64" s="8" t="s">
        <v>0</v>
      </c>
      <c r="U64" s="2">
        <f>+U61</f>
        <v>0.25</v>
      </c>
      <c r="V64">
        <f>+V65</f>
        <v>-1.999999999999</v>
      </c>
      <c r="W64" s="8" t="s">
        <v>0</v>
      </c>
      <c r="Z64" s="2"/>
      <c r="AA64" s="2"/>
      <c r="AB64" s="2"/>
      <c r="AC64" s="2"/>
      <c r="AD64" s="2"/>
      <c r="AE64" s="2"/>
      <c r="AF64" s="2"/>
      <c r="AN64" s="4"/>
      <c r="AO64" s="2"/>
      <c r="AR64" s="4"/>
    </row>
    <row r="65" spans="1:44" ht="15">
      <c r="A65" s="20"/>
      <c r="B65" s="20"/>
      <c r="C65" s="20"/>
      <c r="D65" s="21">
        <f t="shared" si="27"/>
      </c>
      <c r="E65" s="20"/>
      <c r="F65" s="21">
        <f t="shared" si="18"/>
      </c>
      <c r="G65" s="20"/>
      <c r="H65" s="23">
        <f t="shared" si="19"/>
      </c>
      <c r="I65" s="20">
        <f t="shared" si="20"/>
      </c>
      <c r="J65" s="20"/>
      <c r="K65" s="20"/>
      <c r="L65" s="20"/>
      <c r="M65" s="20"/>
      <c r="N65" s="20"/>
      <c r="O65" s="20"/>
      <c r="P65" s="23">
        <f t="shared" si="26"/>
      </c>
      <c r="Q65" s="20"/>
      <c r="T65" s="8" t="s">
        <v>0</v>
      </c>
      <c r="U65">
        <f>IF(V65=0,0,$L$14)</f>
        <v>7.12</v>
      </c>
      <c r="V65" s="19">
        <f>-B25</f>
        <v>-1.999999999999</v>
      </c>
      <c r="W65" s="8" t="s">
        <v>0</v>
      </c>
      <c r="Z65" s="2"/>
      <c r="AA65" s="2"/>
      <c r="AB65" s="2"/>
      <c r="AC65" s="2"/>
      <c r="AD65" s="2"/>
      <c r="AE65" s="2"/>
      <c r="AF65" s="2"/>
      <c r="AN65" s="4"/>
      <c r="AO65" s="2"/>
      <c r="AR65" s="4"/>
    </row>
    <row r="66" spans="1:44" ht="15">
      <c r="A66" s="20"/>
      <c r="B66" s="20"/>
      <c r="C66" s="20"/>
      <c r="D66" s="21">
        <f t="shared" si="27"/>
      </c>
      <c r="E66" s="20"/>
      <c r="F66" s="21">
        <f t="shared" si="18"/>
      </c>
      <c r="G66" s="20"/>
      <c r="H66" s="23">
        <f t="shared" si="19"/>
      </c>
      <c r="I66" s="20">
        <f t="shared" si="20"/>
      </c>
      <c r="J66" s="20"/>
      <c r="K66" s="20"/>
      <c r="L66" s="20"/>
      <c r="M66" s="20"/>
      <c r="N66" s="20"/>
      <c r="O66" s="20"/>
      <c r="P66" s="23">
        <f t="shared" si="26"/>
      </c>
      <c r="Q66" s="20"/>
      <c r="T66" s="8" t="s">
        <v>0</v>
      </c>
      <c r="W66" s="8" t="s">
        <v>0</v>
      </c>
      <c r="Z66" s="2"/>
      <c r="AA66" s="2"/>
      <c r="AB66" s="2"/>
      <c r="AC66" s="2"/>
      <c r="AD66" s="2"/>
      <c r="AE66" s="2"/>
      <c r="AF66" s="2"/>
      <c r="AN66" s="4"/>
      <c r="AO66" s="2"/>
      <c r="AR66" s="4"/>
    </row>
    <row r="67" spans="1:44" ht="15">
      <c r="A67" s="20"/>
      <c r="B67" s="20"/>
      <c r="C67" s="20"/>
      <c r="D67" s="21">
        <f t="shared" si="27"/>
      </c>
      <c r="E67" s="20"/>
      <c r="F67" s="21">
        <f t="shared" si="18"/>
      </c>
      <c r="G67" s="20"/>
      <c r="H67" s="23">
        <f t="shared" si="19"/>
      </c>
      <c r="I67" s="20">
        <f t="shared" si="20"/>
      </c>
      <c r="J67" s="20"/>
      <c r="K67" s="20"/>
      <c r="L67" s="20"/>
      <c r="M67" s="20"/>
      <c r="N67" s="20"/>
      <c r="O67" s="20"/>
      <c r="P67" s="23">
        <f t="shared" si="26"/>
      </c>
      <c r="Q67" s="20"/>
      <c r="T67" s="8" t="s">
        <v>0</v>
      </c>
      <c r="U67">
        <f>IF(V74=0,0,+$L$15)</f>
        <v>3</v>
      </c>
      <c r="V67" s="19">
        <f>IF(V74=0,0,-V8-0.25)</f>
        <v>-2.249999999999</v>
      </c>
      <c r="W67" s="8" t="s">
        <v>0</v>
      </c>
      <c r="Z67" s="2"/>
      <c r="AA67" s="2"/>
      <c r="AB67" s="2"/>
      <c r="AC67" s="2"/>
      <c r="AD67" s="2"/>
      <c r="AE67" s="2"/>
      <c r="AF67" s="2"/>
      <c r="AN67" s="4"/>
      <c r="AO67" s="2"/>
      <c r="AR67" s="4"/>
    </row>
    <row r="68" spans="1:44" ht="15">
      <c r="A68" s="20"/>
      <c r="B68" s="20"/>
      <c r="C68" s="20"/>
      <c r="D68" s="21">
        <f t="shared" si="27"/>
      </c>
      <c r="E68" s="20"/>
      <c r="F68" s="21">
        <f t="shared" si="18"/>
      </c>
      <c r="G68" s="20"/>
      <c r="H68" s="23">
        <f t="shared" si="19"/>
      </c>
      <c r="I68" s="20">
        <f t="shared" si="20"/>
      </c>
      <c r="J68" s="20"/>
      <c r="K68" s="20"/>
      <c r="L68" s="20"/>
      <c r="M68" s="20"/>
      <c r="N68" s="20"/>
      <c r="O68" s="20"/>
      <c r="P68" s="23">
        <f t="shared" si="26"/>
      </c>
      <c r="Q68" s="20"/>
      <c r="T68" s="8" t="s">
        <v>0</v>
      </c>
      <c r="U68" s="2">
        <f>IF(V74=0,0,1)</f>
        <v>1</v>
      </c>
      <c r="V68">
        <f>+V67</f>
        <v>-2.249999999999</v>
      </c>
      <c r="W68" s="8" t="s">
        <v>0</v>
      </c>
      <c r="Z68" s="2"/>
      <c r="AA68" s="2"/>
      <c r="AB68" s="2"/>
      <c r="AC68" s="2"/>
      <c r="AD68" s="2"/>
      <c r="AE68" s="2"/>
      <c r="AF68" s="2"/>
      <c r="AN68" s="4"/>
      <c r="AO68" s="2"/>
      <c r="AR68" s="4"/>
    </row>
    <row r="69" spans="1:44" ht="15">
      <c r="A69" s="20"/>
      <c r="B69" s="20"/>
      <c r="C69" s="20"/>
      <c r="D69" s="21">
        <f t="shared" si="27"/>
      </c>
      <c r="E69" s="20"/>
      <c r="F69" s="21">
        <f t="shared" si="18"/>
      </c>
      <c r="G69" s="20"/>
      <c r="H69" s="23">
        <f t="shared" si="19"/>
      </c>
      <c r="I69" s="20">
        <f t="shared" si="20"/>
      </c>
      <c r="J69" s="20"/>
      <c r="K69" s="20"/>
      <c r="L69" s="20"/>
      <c r="M69" s="20"/>
      <c r="N69" s="20"/>
      <c r="O69" s="20"/>
      <c r="P69" s="23">
        <f t="shared" si="26"/>
      </c>
      <c r="Q69" s="20"/>
      <c r="T69" s="8" t="s">
        <v>0</v>
      </c>
      <c r="U69">
        <f>IF(V74=0,0,0.5)</f>
        <v>0.5</v>
      </c>
      <c r="V69">
        <f>IF(V74=0,0,+V68+0.25)</f>
        <v>-1.999999999999</v>
      </c>
      <c r="W69" s="8" t="s">
        <v>0</v>
      </c>
      <c r="Z69" s="2"/>
      <c r="AA69" s="2"/>
      <c r="AB69" s="2"/>
      <c r="AC69" s="2"/>
      <c r="AD69" s="2"/>
      <c r="AE69" s="2"/>
      <c r="AF69" s="2"/>
      <c r="AN69" s="4"/>
      <c r="AO69" s="2"/>
      <c r="AR69" s="4"/>
    </row>
    <row r="70" spans="1:44" ht="15">
      <c r="A70" s="20"/>
      <c r="B70" s="20"/>
      <c r="C70" s="20"/>
      <c r="D70" s="21">
        <f t="shared" si="27"/>
      </c>
      <c r="E70" s="20"/>
      <c r="F70" s="21">
        <f t="shared" si="18"/>
      </c>
      <c r="G70" s="20"/>
      <c r="H70" s="23">
        <f t="shared" si="19"/>
      </c>
      <c r="I70" s="20">
        <f t="shared" si="20"/>
      </c>
      <c r="J70" s="20"/>
      <c r="K70" s="20"/>
      <c r="L70" s="20"/>
      <c r="M70" s="20"/>
      <c r="N70" s="20"/>
      <c r="O70" s="20"/>
      <c r="P70" s="23">
        <f t="shared" si="26"/>
      </c>
      <c r="Q70" s="20"/>
      <c r="T70" s="8" t="s">
        <v>0</v>
      </c>
      <c r="U70" s="2">
        <f>IF(V74=0,0,0.25)</f>
        <v>0.25</v>
      </c>
      <c r="V70">
        <f>+V69</f>
        <v>-1.999999999999</v>
      </c>
      <c r="W70" s="8" t="s">
        <v>0</v>
      </c>
      <c r="Z70" s="2"/>
      <c r="AA70" s="2"/>
      <c r="AB70" s="2"/>
      <c r="AC70" s="2"/>
      <c r="AD70" s="2"/>
      <c r="AE70" s="2"/>
      <c r="AF70" s="2"/>
      <c r="AN70" s="4"/>
      <c r="AO70" s="2"/>
      <c r="AR70" s="4"/>
    </row>
    <row r="71" spans="4:44" ht="15">
      <c r="D71" s="21">
        <f t="shared" si="27"/>
      </c>
      <c r="F71" s="21">
        <f t="shared" si="18"/>
      </c>
      <c r="H71" s="23">
        <f t="shared" si="19"/>
      </c>
      <c r="I71" s="20">
        <f t="shared" si="20"/>
      </c>
      <c r="P71" s="23">
        <f t="shared" si="26"/>
      </c>
      <c r="T71" s="8" t="s">
        <v>0</v>
      </c>
      <c r="U71" s="2">
        <v>0</v>
      </c>
      <c r="V71">
        <f>+V68</f>
        <v>-2.249999999999</v>
      </c>
      <c r="W71" s="8" t="s">
        <v>0</v>
      </c>
      <c r="Z71" s="2"/>
      <c r="AA71" s="2"/>
      <c r="AB71" s="2"/>
      <c r="AC71" s="2"/>
      <c r="AD71" s="2"/>
      <c r="AE71" s="2"/>
      <c r="AF71" s="2"/>
      <c r="AN71" s="4"/>
      <c r="AO71" s="2"/>
      <c r="AR71" s="4"/>
    </row>
    <row r="72" spans="4:44" ht="15">
      <c r="D72" s="21">
        <f t="shared" si="27"/>
      </c>
      <c r="F72" s="21">
        <f t="shared" si="18"/>
      </c>
      <c r="H72" s="23">
        <f t="shared" si="19"/>
      </c>
      <c r="I72" s="20">
        <f t="shared" si="20"/>
      </c>
      <c r="P72" s="23">
        <f t="shared" si="26"/>
      </c>
      <c r="T72" s="8" t="s">
        <v>0</v>
      </c>
      <c r="U72" s="2">
        <v>0</v>
      </c>
      <c r="V72">
        <f>IF(V74=0,0,+V74+0.25)</f>
        <v>-2.749999999999</v>
      </c>
      <c r="W72" s="8" t="s">
        <v>0</v>
      </c>
      <c r="Z72" s="2"/>
      <c r="AA72" s="2"/>
      <c r="AB72" s="2"/>
      <c r="AC72" s="2"/>
      <c r="AD72" s="2"/>
      <c r="AE72" s="2"/>
      <c r="AF72" s="2"/>
      <c r="AN72" s="4"/>
      <c r="AO72" s="2"/>
      <c r="AR72" s="4"/>
    </row>
    <row r="73" spans="4:44" ht="15">
      <c r="D73" s="21">
        <f t="shared" si="27"/>
      </c>
      <c r="F73" s="21">
        <f t="shared" si="18"/>
      </c>
      <c r="H73" s="23">
        <f t="shared" si="19"/>
      </c>
      <c r="I73" s="20">
        <f t="shared" si="20"/>
      </c>
      <c r="P73" s="23">
        <f t="shared" si="26"/>
      </c>
      <c r="T73" s="8" t="s">
        <v>0</v>
      </c>
      <c r="U73" s="2">
        <f>+U70</f>
        <v>0.25</v>
      </c>
      <c r="V73">
        <f>+V74</f>
        <v>-2.999999999999</v>
      </c>
      <c r="W73" s="8" t="s">
        <v>0</v>
      </c>
      <c r="Z73" s="2"/>
      <c r="AA73" s="2"/>
      <c r="AB73" s="2"/>
      <c r="AC73" s="2"/>
      <c r="AD73" s="2"/>
      <c r="AE73" s="2"/>
      <c r="AF73" s="2"/>
      <c r="AN73" s="4"/>
      <c r="AO73" s="2"/>
      <c r="AR73" s="4"/>
    </row>
    <row r="74" spans="4:44" ht="15">
      <c r="D74" s="21">
        <f t="shared" si="27"/>
      </c>
      <c r="F74" s="21">
        <f t="shared" si="18"/>
      </c>
      <c r="H74" s="23">
        <f t="shared" si="19"/>
      </c>
      <c r="I74" s="20">
        <f t="shared" si="20"/>
      </c>
      <c r="P74" s="23">
        <f t="shared" si="26"/>
      </c>
      <c r="T74" s="8" t="s">
        <v>0</v>
      </c>
      <c r="U74">
        <f>IF(V74=0,0,$L$14)</f>
        <v>7.12</v>
      </c>
      <c r="V74" s="19">
        <f>-B26</f>
        <v>-2.999999999999</v>
      </c>
      <c r="W74" s="8" t="s">
        <v>0</v>
      </c>
      <c r="Z74" s="2"/>
      <c r="AA74" s="2"/>
      <c r="AB74" s="2"/>
      <c r="AC74" s="2"/>
      <c r="AD74" s="2"/>
      <c r="AE74" s="2"/>
      <c r="AF74" s="2"/>
      <c r="AN74" s="4"/>
      <c r="AO74" s="2"/>
      <c r="AR74" s="4"/>
    </row>
    <row r="75" spans="4:44" ht="15">
      <c r="D75" s="21">
        <f t="shared" si="27"/>
      </c>
      <c r="F75" s="21">
        <f t="shared" si="18"/>
      </c>
      <c r="H75" s="23">
        <f t="shared" si="19"/>
      </c>
      <c r="I75" s="20">
        <f t="shared" si="20"/>
      </c>
      <c r="P75" s="23">
        <f t="shared" si="26"/>
      </c>
      <c r="T75" s="8" t="s">
        <v>0</v>
      </c>
      <c r="W75" s="8" t="s">
        <v>0</v>
      </c>
      <c r="Z75" s="2"/>
      <c r="AA75" s="2"/>
      <c r="AB75" s="2"/>
      <c r="AC75" s="2"/>
      <c r="AD75" s="2"/>
      <c r="AE75" s="2"/>
      <c r="AF75" s="2"/>
      <c r="AN75" s="4"/>
      <c r="AO75" s="2"/>
      <c r="AR75" s="4"/>
    </row>
    <row r="76" spans="4:44" ht="15">
      <c r="D76" s="21">
        <f t="shared" si="27"/>
      </c>
      <c r="F76" s="21">
        <f t="shared" si="18"/>
      </c>
      <c r="H76" s="23">
        <f t="shared" si="19"/>
      </c>
      <c r="I76" s="20">
        <f t="shared" si="20"/>
      </c>
      <c r="P76" s="23">
        <f t="shared" si="26"/>
      </c>
      <c r="T76" s="8" t="s">
        <v>0</v>
      </c>
      <c r="U76">
        <f>IF(V83=0,0,+$L$15)</f>
        <v>3</v>
      </c>
      <c r="V76" s="19">
        <f>IF(V83=0,0,-V9-0.25)</f>
        <v>-3.249999999999</v>
      </c>
      <c r="W76" s="8" t="s">
        <v>0</v>
      </c>
      <c r="Z76" s="2"/>
      <c r="AA76" s="2"/>
      <c r="AB76" s="2"/>
      <c r="AC76" s="2"/>
      <c r="AD76" s="2"/>
      <c r="AE76" s="2"/>
      <c r="AF76" s="2"/>
      <c r="AN76" s="4"/>
      <c r="AO76" s="2"/>
      <c r="AR76" s="4"/>
    </row>
    <row r="77" spans="4:44" ht="15">
      <c r="D77" s="21">
        <f t="shared" si="27"/>
      </c>
      <c r="F77" s="21">
        <f t="shared" si="18"/>
      </c>
      <c r="H77" s="23">
        <f t="shared" si="19"/>
      </c>
      <c r="I77" s="20">
        <f t="shared" si="20"/>
      </c>
      <c r="P77" s="23">
        <f t="shared" si="26"/>
      </c>
      <c r="T77" s="8" t="s">
        <v>0</v>
      </c>
      <c r="U77" s="2">
        <f>IF(V83=0,0,1)</f>
        <v>1</v>
      </c>
      <c r="V77">
        <f>+V76</f>
        <v>-3.249999999999</v>
      </c>
      <c r="W77" s="8" t="s">
        <v>0</v>
      </c>
      <c r="Z77" s="2"/>
      <c r="AA77" s="2"/>
      <c r="AB77" s="2"/>
      <c r="AC77" s="2"/>
      <c r="AD77" s="2"/>
      <c r="AE77" s="2"/>
      <c r="AF77" s="2"/>
      <c r="AN77" s="4"/>
      <c r="AO77" s="2"/>
      <c r="AR77" s="4"/>
    </row>
    <row r="78" spans="4:44" ht="15">
      <c r="D78" s="21">
        <f t="shared" si="27"/>
      </c>
      <c r="F78" s="21">
        <f t="shared" si="18"/>
      </c>
      <c r="H78" s="23">
        <f t="shared" si="19"/>
      </c>
      <c r="I78" s="20">
        <f t="shared" si="20"/>
      </c>
      <c r="P78" s="23">
        <f t="shared" si="26"/>
      </c>
      <c r="T78" s="8" t="s">
        <v>0</v>
      </c>
      <c r="U78">
        <f>IF(V83=0,0,0.5)</f>
        <v>0.5</v>
      </c>
      <c r="V78">
        <f>IF(V83=0,0,+V77+0.25)</f>
        <v>-2.999999999999</v>
      </c>
      <c r="W78" s="8" t="s">
        <v>0</v>
      </c>
      <c r="Z78" s="2"/>
      <c r="AA78" s="2"/>
      <c r="AB78" s="2"/>
      <c r="AC78" s="2"/>
      <c r="AD78" s="2"/>
      <c r="AE78" s="2"/>
      <c r="AF78" s="2"/>
      <c r="AN78" s="4"/>
      <c r="AO78" s="2"/>
      <c r="AR78" s="4"/>
    </row>
    <row r="79" spans="4:44" ht="15">
      <c r="D79" s="21">
        <f t="shared" si="27"/>
      </c>
      <c r="F79" s="21">
        <f t="shared" si="18"/>
      </c>
      <c r="H79" s="23">
        <f t="shared" si="19"/>
      </c>
      <c r="I79" s="20">
        <f t="shared" si="20"/>
      </c>
      <c r="P79" s="23">
        <f t="shared" si="26"/>
      </c>
      <c r="T79" s="8" t="s">
        <v>0</v>
      </c>
      <c r="U79" s="2">
        <f>IF(V83=0,0,0.25)</f>
        <v>0.25</v>
      </c>
      <c r="V79">
        <f>+V78</f>
        <v>-2.999999999999</v>
      </c>
      <c r="W79" s="8" t="s">
        <v>0</v>
      </c>
      <c r="Z79" s="2"/>
      <c r="AA79" s="2"/>
      <c r="AB79" s="2"/>
      <c r="AC79" s="2"/>
      <c r="AD79" s="2"/>
      <c r="AE79" s="2"/>
      <c r="AF79" s="2"/>
      <c r="AN79" s="4"/>
      <c r="AO79" s="2"/>
      <c r="AR79" s="4"/>
    </row>
    <row r="80" spans="4:44" ht="15">
      <c r="D80" s="21">
        <f t="shared" si="27"/>
      </c>
      <c r="F80" s="21">
        <f t="shared" si="18"/>
      </c>
      <c r="H80" s="23">
        <f t="shared" si="19"/>
      </c>
      <c r="I80" s="20">
        <f t="shared" si="20"/>
      </c>
      <c r="P80" s="23">
        <f t="shared" si="26"/>
      </c>
      <c r="T80" s="8" t="s">
        <v>0</v>
      </c>
      <c r="U80" s="2">
        <v>0</v>
      </c>
      <c r="V80">
        <f>+V77</f>
        <v>-3.249999999999</v>
      </c>
      <c r="W80" s="8" t="s">
        <v>0</v>
      </c>
      <c r="Z80" s="2"/>
      <c r="AA80" s="2"/>
      <c r="AB80" s="2"/>
      <c r="AC80" s="2"/>
      <c r="AD80" s="2"/>
      <c r="AE80" s="2"/>
      <c r="AF80" s="2"/>
      <c r="AN80" s="4"/>
      <c r="AO80" s="2"/>
      <c r="AR80" s="4"/>
    </row>
    <row r="81" spans="4:44" ht="15">
      <c r="D81" s="21">
        <f t="shared" si="27"/>
      </c>
      <c r="F81" s="21">
        <f t="shared" si="18"/>
      </c>
      <c r="H81" s="23">
        <f t="shared" si="19"/>
      </c>
      <c r="I81" s="20">
        <f t="shared" si="20"/>
      </c>
      <c r="P81" s="23">
        <f t="shared" si="26"/>
      </c>
      <c r="T81" s="8" t="s">
        <v>0</v>
      </c>
      <c r="U81" s="2">
        <v>0</v>
      </c>
      <c r="V81">
        <f>IF(V83=0,0,+V83+0.25)</f>
        <v>-3.749999999999</v>
      </c>
      <c r="W81" s="8" t="s">
        <v>0</v>
      </c>
      <c r="Z81" s="2"/>
      <c r="AA81" s="2"/>
      <c r="AB81" s="2"/>
      <c r="AC81" s="2"/>
      <c r="AD81" s="2"/>
      <c r="AE81" s="2"/>
      <c r="AF81" s="2"/>
      <c r="AN81" s="4"/>
      <c r="AO81" s="2"/>
      <c r="AR81" s="4"/>
    </row>
    <row r="82" spans="4:44" ht="15">
      <c r="D82" s="21">
        <f t="shared" si="27"/>
      </c>
      <c r="F82" s="21">
        <f t="shared" si="18"/>
      </c>
      <c r="H82" s="23">
        <f t="shared" si="19"/>
      </c>
      <c r="I82" s="20">
        <f t="shared" si="20"/>
      </c>
      <c r="P82" s="23">
        <f t="shared" si="26"/>
      </c>
      <c r="T82" s="8" t="s">
        <v>0</v>
      </c>
      <c r="U82" s="2">
        <f>+U79</f>
        <v>0.25</v>
      </c>
      <c r="V82">
        <f>+V83</f>
        <v>-3.999999999999</v>
      </c>
      <c r="W82" s="8" t="s">
        <v>0</v>
      </c>
      <c r="Z82" s="2"/>
      <c r="AA82" s="2"/>
      <c r="AB82" s="2"/>
      <c r="AC82" s="2"/>
      <c r="AD82" s="2"/>
      <c r="AE82" s="2"/>
      <c r="AF82" s="2"/>
      <c r="AN82" s="4"/>
      <c r="AO82" s="2"/>
      <c r="AR82" s="4"/>
    </row>
    <row r="83" spans="4:44" ht="15">
      <c r="D83" s="21">
        <f t="shared" si="27"/>
      </c>
      <c r="F83" s="21">
        <f t="shared" si="18"/>
      </c>
      <c r="H83" s="23">
        <f t="shared" si="19"/>
      </c>
      <c r="I83" s="20">
        <f t="shared" si="20"/>
      </c>
      <c r="P83" s="23">
        <f t="shared" si="26"/>
      </c>
      <c r="T83" s="8" t="s">
        <v>0</v>
      </c>
      <c r="U83">
        <f>IF(V83=0,0,$L$14)</f>
        <v>7.12</v>
      </c>
      <c r="V83" s="19">
        <f>-B27</f>
        <v>-3.999999999999</v>
      </c>
      <c r="W83" s="8" t="s">
        <v>0</v>
      </c>
      <c r="Z83" s="2"/>
      <c r="AA83" s="2"/>
      <c r="AB83" s="2"/>
      <c r="AC83" s="2"/>
      <c r="AD83" s="2"/>
      <c r="AE83" s="2"/>
      <c r="AF83" s="2"/>
      <c r="AN83" s="4"/>
      <c r="AO83" s="2"/>
      <c r="AR83" s="4"/>
    </row>
    <row r="84" spans="4:44" ht="15">
      <c r="D84" s="21">
        <f t="shared" si="27"/>
      </c>
      <c r="F84" s="21">
        <f t="shared" si="18"/>
      </c>
      <c r="H84" s="23">
        <f t="shared" si="19"/>
      </c>
      <c r="I84" s="20">
        <f t="shared" si="20"/>
      </c>
      <c r="P84" s="23">
        <f t="shared" si="26"/>
      </c>
      <c r="T84" s="8" t="s">
        <v>0</v>
      </c>
      <c r="W84" s="8" t="s">
        <v>0</v>
      </c>
      <c r="Z84" s="2"/>
      <c r="AA84" s="2"/>
      <c r="AB84" s="2"/>
      <c r="AC84" s="2"/>
      <c r="AD84" s="2"/>
      <c r="AE84" s="2"/>
      <c r="AF84" s="2"/>
      <c r="AN84" s="4"/>
      <c r="AO84" s="2"/>
      <c r="AR84" s="4"/>
    </row>
    <row r="85" spans="4:44" ht="15">
      <c r="D85" s="21">
        <f t="shared" si="27"/>
      </c>
      <c r="P85" s="23">
        <f t="shared" si="26"/>
      </c>
      <c r="T85" s="8" t="s">
        <v>0</v>
      </c>
      <c r="U85">
        <f>IF(V92=0,0,+$L$15)</f>
        <v>3</v>
      </c>
      <c r="V85" s="19">
        <f>IF(V92=0,0,-V10-0.25)</f>
        <v>-4.249999999999</v>
      </c>
      <c r="W85" s="8" t="s">
        <v>0</v>
      </c>
      <c r="Z85" s="2"/>
      <c r="AA85" s="2"/>
      <c r="AB85" s="2"/>
      <c r="AC85" s="2"/>
      <c r="AD85" s="2"/>
      <c r="AE85" s="2"/>
      <c r="AF85" s="2"/>
      <c r="AN85" s="4"/>
      <c r="AO85" s="2"/>
      <c r="AR85" s="4"/>
    </row>
    <row r="86" spans="4:44" ht="15">
      <c r="D86" s="21">
        <f t="shared" si="27"/>
      </c>
      <c r="P86" s="23">
        <f t="shared" si="26"/>
      </c>
      <c r="T86" s="8" t="s">
        <v>0</v>
      </c>
      <c r="U86" s="2">
        <f>IF(V92=0,0,1)</f>
        <v>1</v>
      </c>
      <c r="V86">
        <f>+V85</f>
        <v>-4.249999999999</v>
      </c>
      <c r="W86" s="8" t="s">
        <v>0</v>
      </c>
      <c r="Z86" s="2"/>
      <c r="AA86" s="2"/>
      <c r="AB86" s="2"/>
      <c r="AC86" s="2"/>
      <c r="AD86" s="2"/>
      <c r="AE86" s="2"/>
      <c r="AF86" s="2"/>
      <c r="AN86" s="4"/>
      <c r="AO86" s="2"/>
      <c r="AR86" s="4"/>
    </row>
    <row r="87" spans="4:44" ht="15">
      <c r="D87" s="21">
        <f aca="true" t="shared" si="28" ref="D87:D109">IF(B88="","",+AA70)</f>
      </c>
      <c r="P87" s="23">
        <f t="shared" si="26"/>
      </c>
      <c r="T87" s="8" t="s">
        <v>0</v>
      </c>
      <c r="U87">
        <f>IF(V92=0,0,0.5)</f>
        <v>0.5</v>
      </c>
      <c r="V87">
        <f>IF(V92=0,0,+V86+0.25)</f>
        <v>-3.999999999999</v>
      </c>
      <c r="W87" s="8" t="s">
        <v>0</v>
      </c>
      <c r="Z87" s="2"/>
      <c r="AA87" s="2"/>
      <c r="AB87" s="2"/>
      <c r="AC87" s="2"/>
      <c r="AD87" s="2"/>
      <c r="AE87" s="2"/>
      <c r="AF87" s="2"/>
      <c r="AN87" s="4"/>
      <c r="AO87" s="2"/>
      <c r="AR87" s="4"/>
    </row>
    <row r="88" spans="4:44" ht="15">
      <c r="D88" s="21">
        <f t="shared" si="28"/>
      </c>
      <c r="P88" s="23">
        <f aca="true" t="shared" si="29" ref="P88:P103">IF(B88,($L$14-J88)*2*$L$12*TAN($L$7*PI()/180)*$L$8*(AE71+B88+0.25)/N88,"")</f>
      </c>
      <c r="T88" s="8" t="s">
        <v>0</v>
      </c>
      <c r="U88" s="2">
        <f>IF(V92=0,0,0.25)</f>
        <v>0.25</v>
      </c>
      <c r="V88">
        <f>+V87</f>
        <v>-3.999999999999</v>
      </c>
      <c r="W88" s="8" t="s">
        <v>0</v>
      </c>
      <c r="Z88" s="2"/>
      <c r="AA88" s="2"/>
      <c r="AB88" s="2"/>
      <c r="AC88" s="2"/>
      <c r="AD88" s="2"/>
      <c r="AE88" s="2"/>
      <c r="AF88" s="2"/>
      <c r="AN88" s="4"/>
      <c r="AO88" s="2"/>
      <c r="AR88" s="4"/>
    </row>
    <row r="89" spans="4:44" ht="15">
      <c r="D89" s="21">
        <f t="shared" si="28"/>
      </c>
      <c r="P89" s="23">
        <f t="shared" si="29"/>
      </c>
      <c r="T89" s="8" t="s">
        <v>0</v>
      </c>
      <c r="U89" s="2">
        <v>0</v>
      </c>
      <c r="V89">
        <f>+V86</f>
        <v>-4.249999999999</v>
      </c>
      <c r="W89" s="8" t="s">
        <v>0</v>
      </c>
      <c r="Z89" s="2"/>
      <c r="AA89" s="2"/>
      <c r="AB89" s="2"/>
      <c r="AC89" s="2"/>
      <c r="AD89" s="2"/>
      <c r="AE89" s="2"/>
      <c r="AF89" s="2"/>
      <c r="AN89" s="4"/>
      <c r="AO89" s="2"/>
      <c r="AR89" s="4"/>
    </row>
    <row r="90" spans="4:44" ht="15">
      <c r="D90" s="21">
        <f t="shared" si="28"/>
      </c>
      <c r="P90" s="23">
        <f t="shared" si="29"/>
      </c>
      <c r="T90" s="8" t="s">
        <v>0</v>
      </c>
      <c r="U90" s="2">
        <v>0</v>
      </c>
      <c r="V90">
        <f>IF(V92=0,0,+V92+0.25)</f>
        <v>-4.749999999999</v>
      </c>
      <c r="W90" s="8" t="s">
        <v>0</v>
      </c>
      <c r="Z90" s="2"/>
      <c r="AA90" s="2"/>
      <c r="AB90" s="2"/>
      <c r="AC90" s="2"/>
      <c r="AD90" s="2"/>
      <c r="AE90" s="2"/>
      <c r="AF90" s="2"/>
      <c r="AN90" s="4"/>
      <c r="AO90" s="2"/>
      <c r="AR90" s="4"/>
    </row>
    <row r="91" spans="4:44" ht="15">
      <c r="D91" s="21">
        <f t="shared" si="28"/>
      </c>
      <c r="P91" s="23">
        <f t="shared" si="29"/>
      </c>
      <c r="T91" s="8" t="s">
        <v>0</v>
      </c>
      <c r="U91" s="2">
        <f>+U88</f>
        <v>0.25</v>
      </c>
      <c r="V91">
        <f>+V92</f>
        <v>-4.999999999999</v>
      </c>
      <c r="W91" s="8" t="s">
        <v>0</v>
      </c>
      <c r="Z91" s="2"/>
      <c r="AA91" s="2"/>
      <c r="AB91" s="2"/>
      <c r="AC91" s="2"/>
      <c r="AD91" s="2"/>
      <c r="AE91" s="2"/>
      <c r="AF91" s="2"/>
      <c r="AN91" s="4"/>
      <c r="AO91" s="2"/>
      <c r="AR91" s="4"/>
    </row>
    <row r="92" spans="4:44" ht="15">
      <c r="D92" s="21">
        <f t="shared" si="28"/>
      </c>
      <c r="P92" s="23">
        <f t="shared" si="29"/>
      </c>
      <c r="T92" s="8" t="s">
        <v>0</v>
      </c>
      <c r="U92">
        <f>IF(V92=0,0,$L$14)</f>
        <v>7.12</v>
      </c>
      <c r="V92" s="19">
        <f>-B28</f>
        <v>-4.999999999999</v>
      </c>
      <c r="W92" s="8" t="s">
        <v>0</v>
      </c>
      <c r="Z92" s="2"/>
      <c r="AA92" s="2"/>
      <c r="AB92" s="2"/>
      <c r="AC92" s="2"/>
      <c r="AD92" s="2"/>
      <c r="AE92" s="2"/>
      <c r="AF92" s="2"/>
      <c r="AN92" s="4"/>
      <c r="AO92" s="2"/>
      <c r="AR92" s="4"/>
    </row>
    <row r="93" spans="4:44" ht="15">
      <c r="D93" s="21">
        <f t="shared" si="28"/>
      </c>
      <c r="P93" s="23">
        <f t="shared" si="29"/>
      </c>
      <c r="T93" s="8" t="s">
        <v>0</v>
      </c>
      <c r="W93" s="8" t="s">
        <v>0</v>
      </c>
      <c r="Z93" s="2"/>
      <c r="AA93" s="2"/>
      <c r="AB93" s="2"/>
      <c r="AC93" s="2"/>
      <c r="AD93" s="2"/>
      <c r="AE93" s="2"/>
      <c r="AF93" s="2"/>
      <c r="AN93" s="4"/>
      <c r="AO93" s="2"/>
      <c r="AR93" s="4"/>
    </row>
    <row r="94" spans="4:44" ht="15">
      <c r="D94" s="21">
        <f t="shared" si="28"/>
      </c>
      <c r="P94" s="23">
        <f t="shared" si="29"/>
      </c>
      <c r="T94" s="8" t="s">
        <v>0</v>
      </c>
      <c r="U94">
        <f>IF(V101=0,0,+$L$15)</f>
        <v>3</v>
      </c>
      <c r="V94" s="19">
        <f>IF(V101=0,0,-V11-0.25)</f>
        <v>-5.249999999999</v>
      </c>
      <c r="W94" s="8" t="s">
        <v>0</v>
      </c>
      <c r="X94" s="2"/>
      <c r="Z94" s="2"/>
      <c r="AA94" s="2"/>
      <c r="AB94" s="2"/>
      <c r="AC94" s="2"/>
      <c r="AD94" s="2"/>
      <c r="AE94" s="2"/>
      <c r="AF94" s="2"/>
      <c r="AN94" s="4"/>
      <c r="AO94" s="2"/>
      <c r="AR94" s="4"/>
    </row>
    <row r="95" spans="4:44" ht="15">
      <c r="D95" s="21">
        <f t="shared" si="28"/>
      </c>
      <c r="P95" s="23">
        <f t="shared" si="29"/>
      </c>
      <c r="T95" s="8" t="s">
        <v>0</v>
      </c>
      <c r="U95" s="2">
        <f>IF(V101=0,0,1)</f>
        <v>1</v>
      </c>
      <c r="V95">
        <f>+V94</f>
        <v>-5.249999999999</v>
      </c>
      <c r="W95" s="8" t="s">
        <v>0</v>
      </c>
      <c r="Z95" s="2"/>
      <c r="AA95" s="2"/>
      <c r="AB95" s="2"/>
      <c r="AC95" s="2"/>
      <c r="AD95" s="2"/>
      <c r="AE95" s="2"/>
      <c r="AF95" s="2"/>
      <c r="AN95" s="4"/>
      <c r="AO95" s="2"/>
      <c r="AR95" s="4"/>
    </row>
    <row r="96" spans="4:44" ht="15">
      <c r="D96" s="21">
        <f t="shared" si="28"/>
      </c>
      <c r="P96" s="23">
        <f t="shared" si="29"/>
      </c>
      <c r="T96" s="8" t="s">
        <v>0</v>
      </c>
      <c r="U96">
        <f>IF(V101=0,0,0.5)</f>
        <v>0.5</v>
      </c>
      <c r="V96">
        <f>IF(V101=0,0,+V95+0.25)</f>
        <v>-4.999999999999</v>
      </c>
      <c r="W96" s="8" t="s">
        <v>0</v>
      </c>
      <c r="Z96" s="2"/>
      <c r="AA96" s="2"/>
      <c r="AB96" s="2"/>
      <c r="AC96" s="2"/>
      <c r="AD96" s="2"/>
      <c r="AE96" s="2"/>
      <c r="AF96" s="2"/>
      <c r="AN96" s="4"/>
      <c r="AO96" s="2"/>
      <c r="AR96" s="4"/>
    </row>
    <row r="97" spans="4:44" ht="15">
      <c r="D97" s="21">
        <f t="shared" si="28"/>
      </c>
      <c r="P97" s="23">
        <f t="shared" si="29"/>
      </c>
      <c r="T97" s="8" t="s">
        <v>0</v>
      </c>
      <c r="U97" s="2">
        <f>IF(V101=0,0,0.25)</f>
        <v>0.25</v>
      </c>
      <c r="V97">
        <f>+V96</f>
        <v>-4.999999999999</v>
      </c>
      <c r="W97" s="8" t="s">
        <v>0</v>
      </c>
      <c r="X97" s="2"/>
      <c r="Z97" s="2"/>
      <c r="AA97" s="2"/>
      <c r="AB97" s="2"/>
      <c r="AC97" s="2"/>
      <c r="AD97" s="2"/>
      <c r="AE97" s="2"/>
      <c r="AF97" s="2"/>
      <c r="AN97" s="4"/>
      <c r="AO97" s="2"/>
      <c r="AR97" s="4"/>
    </row>
    <row r="98" spans="4:44" ht="15">
      <c r="D98" s="21">
        <f t="shared" si="28"/>
      </c>
      <c r="P98" s="23">
        <f t="shared" si="29"/>
      </c>
      <c r="T98" s="8" t="s">
        <v>0</v>
      </c>
      <c r="U98" s="2">
        <v>0</v>
      </c>
      <c r="V98">
        <f>+V95</f>
        <v>-5.249999999999</v>
      </c>
      <c r="W98" s="8" t="s">
        <v>0</v>
      </c>
      <c r="Z98" s="2"/>
      <c r="AA98" s="2"/>
      <c r="AB98" s="2"/>
      <c r="AC98" s="2"/>
      <c r="AD98" s="2"/>
      <c r="AE98" s="2"/>
      <c r="AF98" s="2"/>
      <c r="AN98" s="4"/>
      <c r="AO98" s="2"/>
      <c r="AR98" s="4"/>
    </row>
    <row r="99" spans="4:44" ht="15">
      <c r="D99" s="21">
        <f t="shared" si="28"/>
      </c>
      <c r="F99" s="4"/>
      <c r="H99" s="4"/>
      <c r="J99" s="4"/>
      <c r="L99" s="4"/>
      <c r="P99" s="23">
        <f t="shared" si="29"/>
      </c>
      <c r="R99" s="2"/>
      <c r="S99" s="2"/>
      <c r="T99" s="8" t="s">
        <v>0</v>
      </c>
      <c r="U99" s="2">
        <v>0</v>
      </c>
      <c r="V99">
        <f>IF(V101=0,0,+V101+0.25)</f>
        <v>-5.749999999999</v>
      </c>
      <c r="W99" s="8" t="s">
        <v>0</v>
      </c>
      <c r="Z99" s="2"/>
      <c r="AA99" s="2"/>
      <c r="AB99" s="2"/>
      <c r="AC99" s="2"/>
      <c r="AD99" s="2"/>
      <c r="AE99" s="2"/>
      <c r="AF99" s="2"/>
      <c r="AN99" s="4"/>
      <c r="AO99" s="2"/>
      <c r="AR99" s="4"/>
    </row>
    <row r="100" spans="4:44" ht="15">
      <c r="D100" s="21">
        <f t="shared" si="28"/>
      </c>
      <c r="E100" s="6"/>
      <c r="H100" s="4"/>
      <c r="J100" s="7"/>
      <c r="P100" s="23">
        <f t="shared" si="29"/>
      </c>
      <c r="R100" s="2"/>
      <c r="S100" s="2"/>
      <c r="T100" s="8" t="s">
        <v>0</v>
      </c>
      <c r="U100" s="2">
        <f>+U97</f>
        <v>0.25</v>
      </c>
      <c r="V100">
        <f>+V101</f>
        <v>-5.999999999999</v>
      </c>
      <c r="W100" s="8" t="s">
        <v>0</v>
      </c>
      <c r="X100" s="2"/>
      <c r="Z100" s="2"/>
      <c r="AA100" s="2"/>
      <c r="AB100" s="2"/>
      <c r="AC100" s="2"/>
      <c r="AD100" s="2"/>
      <c r="AE100" s="2"/>
      <c r="AF100" s="2"/>
      <c r="AN100" s="4"/>
      <c r="AO100" s="2"/>
      <c r="AR100" s="4"/>
    </row>
    <row r="101" spans="4:44" ht="15">
      <c r="D101" s="21">
        <f t="shared" si="28"/>
      </c>
      <c r="J101" s="7"/>
      <c r="P101" s="23">
        <f t="shared" si="29"/>
      </c>
      <c r="R101" s="2"/>
      <c r="T101" s="8" t="s">
        <v>0</v>
      </c>
      <c r="U101">
        <f>IF(V101=0,0,$L$14)</f>
        <v>7.12</v>
      </c>
      <c r="V101" s="19">
        <f>-B29</f>
        <v>-5.999999999999</v>
      </c>
      <c r="W101" s="8" t="s">
        <v>0</v>
      </c>
      <c r="Z101" s="2"/>
      <c r="AA101" s="2"/>
      <c r="AB101" s="2"/>
      <c r="AC101" s="2"/>
      <c r="AD101" s="2"/>
      <c r="AE101" s="2"/>
      <c r="AF101" s="2"/>
      <c r="AN101" s="4"/>
      <c r="AO101" s="2"/>
      <c r="AR101" s="4"/>
    </row>
    <row r="102" spans="4:44" ht="15">
      <c r="D102" s="21">
        <f t="shared" si="28"/>
      </c>
      <c r="E102" s="6"/>
      <c r="H102" s="4"/>
      <c r="J102" s="7"/>
      <c r="P102" s="23">
        <f t="shared" si="29"/>
      </c>
      <c r="R102" s="2"/>
      <c r="S102" s="2"/>
      <c r="T102" s="8" t="s">
        <v>0</v>
      </c>
      <c r="W102" s="8" t="s">
        <v>0</v>
      </c>
      <c r="Z102" s="2"/>
      <c r="AA102" s="2"/>
      <c r="AB102" s="2"/>
      <c r="AC102" s="2"/>
      <c r="AD102" s="2"/>
      <c r="AE102" s="2"/>
      <c r="AF102" s="2"/>
      <c r="AN102" s="4"/>
      <c r="AO102" s="2"/>
      <c r="AR102" s="4"/>
    </row>
    <row r="103" spans="4:44" ht="15">
      <c r="D103" s="21">
        <f t="shared" si="28"/>
      </c>
      <c r="H103" s="4"/>
      <c r="J103" s="7"/>
      <c r="P103" s="23">
        <f t="shared" si="29"/>
      </c>
      <c r="R103" s="2"/>
      <c r="T103" s="8" t="s">
        <v>0</v>
      </c>
      <c r="U103">
        <f>IF(V110=0,0,+$L$15)</f>
        <v>0</v>
      </c>
      <c r="V103" s="19">
        <f>IF(V110=0,0,-V12-0.25)</f>
        <v>0</v>
      </c>
      <c r="W103" s="8" t="s">
        <v>0</v>
      </c>
      <c r="X103" s="2"/>
      <c r="Z103" s="2"/>
      <c r="AA103" s="2"/>
      <c r="AB103" s="2"/>
      <c r="AC103" s="2"/>
      <c r="AD103" s="2"/>
      <c r="AE103" s="2"/>
      <c r="AF103" s="2"/>
      <c r="AN103" s="4"/>
      <c r="AO103" s="2"/>
      <c r="AR103" s="4"/>
    </row>
    <row r="104" spans="4:44" ht="15">
      <c r="D104" s="21">
        <f t="shared" si="28"/>
      </c>
      <c r="J104" s="7"/>
      <c r="R104" s="2"/>
      <c r="T104" s="8" t="s">
        <v>0</v>
      </c>
      <c r="U104" s="2">
        <f>IF(V110=0,0,1)</f>
        <v>0</v>
      </c>
      <c r="V104">
        <f>+V103</f>
        <v>0</v>
      </c>
      <c r="W104" s="8" t="s">
        <v>0</v>
      </c>
      <c r="Z104" s="2"/>
      <c r="AA104" s="2"/>
      <c r="AB104" s="2"/>
      <c r="AC104" s="2"/>
      <c r="AD104" s="2"/>
      <c r="AE104" s="2"/>
      <c r="AF104" s="2"/>
      <c r="AN104" s="4"/>
      <c r="AO104" s="2"/>
      <c r="AR104" s="4"/>
    </row>
    <row r="105" spans="4:44" ht="15">
      <c r="D105" s="21">
        <f t="shared" si="28"/>
      </c>
      <c r="H105" s="4"/>
      <c r="R105" s="2"/>
      <c r="T105" s="8" t="s">
        <v>0</v>
      </c>
      <c r="U105">
        <f>IF(V110=0,0,0.5)</f>
        <v>0</v>
      </c>
      <c r="V105">
        <f>IF(V110=0,0,+V104+0.25)</f>
        <v>0</v>
      </c>
      <c r="W105" s="8" t="s">
        <v>0</v>
      </c>
      <c r="Z105" s="2"/>
      <c r="AA105" s="2"/>
      <c r="AB105" s="2"/>
      <c r="AC105" s="2"/>
      <c r="AD105" s="2"/>
      <c r="AE105" s="2"/>
      <c r="AF105" s="2"/>
      <c r="AN105" s="4"/>
      <c r="AO105" s="2"/>
      <c r="AR105" s="4"/>
    </row>
    <row r="106" spans="4:44" ht="15">
      <c r="D106" s="21">
        <f t="shared" si="28"/>
      </c>
      <c r="H106" s="4"/>
      <c r="R106" s="2"/>
      <c r="T106" s="8" t="s">
        <v>0</v>
      </c>
      <c r="U106" s="2">
        <f>IF(V110=0,0,0.25)</f>
        <v>0</v>
      </c>
      <c r="V106">
        <f>+V105</f>
        <v>0</v>
      </c>
      <c r="W106" s="8" t="s">
        <v>0</v>
      </c>
      <c r="X106" s="2"/>
      <c r="Z106" s="2"/>
      <c r="AA106" s="2"/>
      <c r="AB106" s="2"/>
      <c r="AC106" s="2"/>
      <c r="AD106" s="2"/>
      <c r="AE106" s="2"/>
      <c r="AF106" s="2"/>
      <c r="AN106" s="4"/>
      <c r="AO106" s="2"/>
      <c r="AR106" s="4"/>
    </row>
    <row r="107" spans="4:44" ht="15">
      <c r="D107" s="21">
        <f t="shared" si="28"/>
      </c>
      <c r="H107" s="4"/>
      <c r="R107" s="2"/>
      <c r="T107" s="8" t="s">
        <v>0</v>
      </c>
      <c r="U107" s="2">
        <v>0</v>
      </c>
      <c r="V107">
        <f>+V104</f>
        <v>0</v>
      </c>
      <c r="W107" s="8" t="s">
        <v>0</v>
      </c>
      <c r="Z107" s="2"/>
      <c r="AA107" s="2"/>
      <c r="AB107" s="2"/>
      <c r="AC107" s="2"/>
      <c r="AD107" s="2"/>
      <c r="AE107" s="2"/>
      <c r="AF107" s="2"/>
      <c r="AN107" s="4"/>
      <c r="AO107" s="2"/>
      <c r="AR107" s="4"/>
    </row>
    <row r="108" spans="4:44" ht="15">
      <c r="D108" s="21">
        <f t="shared" si="28"/>
      </c>
      <c r="H108" s="4"/>
      <c r="R108" s="2"/>
      <c r="T108" s="8" t="s">
        <v>0</v>
      </c>
      <c r="U108" s="2">
        <v>0</v>
      </c>
      <c r="V108">
        <f>IF(V110=0,0,+V110+0.25)</f>
        <v>0</v>
      </c>
      <c r="W108" s="8" t="s">
        <v>0</v>
      </c>
      <c r="Z108" s="2"/>
      <c r="AA108" s="2"/>
      <c r="AB108" s="2"/>
      <c r="AC108" s="2"/>
      <c r="AD108" s="2"/>
      <c r="AE108" s="2"/>
      <c r="AF108" s="2"/>
      <c r="AN108" s="4"/>
      <c r="AO108" s="2"/>
      <c r="AR108" s="4"/>
    </row>
    <row r="109" spans="4:44" ht="15">
      <c r="D109" s="21">
        <f t="shared" si="28"/>
      </c>
      <c r="R109" s="2"/>
      <c r="T109" s="8" t="s">
        <v>0</v>
      </c>
      <c r="U109" s="2">
        <f>+U106</f>
        <v>0</v>
      </c>
      <c r="V109">
        <f>+V110</f>
        <v>0</v>
      </c>
      <c r="W109" s="8" t="s">
        <v>0</v>
      </c>
      <c r="X109" s="2"/>
      <c r="Z109" s="2"/>
      <c r="AA109" s="2"/>
      <c r="AB109" s="2"/>
      <c r="AC109" s="2"/>
      <c r="AD109" s="2"/>
      <c r="AE109" s="2"/>
      <c r="AF109" s="2"/>
      <c r="AN109" s="4"/>
      <c r="AO109" s="2"/>
      <c r="AR109" s="4"/>
    </row>
    <row r="110" spans="18:44" ht="15">
      <c r="R110" s="2"/>
      <c r="T110" s="8" t="s">
        <v>0</v>
      </c>
      <c r="U110">
        <f>IF(V110=0,0,$L$14)</f>
        <v>0</v>
      </c>
      <c r="V110" s="19">
        <f>-B30</f>
        <v>0</v>
      </c>
      <c r="W110" s="8" t="s">
        <v>0</v>
      </c>
      <c r="Z110" s="2"/>
      <c r="AA110" s="2"/>
      <c r="AB110" s="2"/>
      <c r="AC110" s="2"/>
      <c r="AD110" s="2"/>
      <c r="AE110" s="2"/>
      <c r="AF110" s="2"/>
      <c r="AN110" s="4"/>
      <c r="AO110" s="2"/>
      <c r="AR110" s="4"/>
    </row>
    <row r="111" spans="18:44" ht="15">
      <c r="R111" s="2"/>
      <c r="T111" s="8" t="s">
        <v>0</v>
      </c>
      <c r="W111" s="8" t="s">
        <v>0</v>
      </c>
      <c r="Z111" s="2"/>
      <c r="AA111" s="2"/>
      <c r="AB111" s="2"/>
      <c r="AC111" s="2"/>
      <c r="AD111" s="2"/>
      <c r="AE111" s="2"/>
      <c r="AF111" s="2"/>
      <c r="AN111" s="4"/>
      <c r="AO111" s="2"/>
      <c r="AR111" s="4"/>
    </row>
    <row r="112" spans="18:44" ht="15">
      <c r="R112" s="2"/>
      <c r="T112" s="8" t="s">
        <v>0</v>
      </c>
      <c r="U112">
        <f>IF(V119=0,0,+$L$15)</f>
        <v>0</v>
      </c>
      <c r="V112" s="19">
        <f>IF(V119=0,0,-V13-0.25)</f>
        <v>0</v>
      </c>
      <c r="W112" s="8" t="s">
        <v>0</v>
      </c>
      <c r="X112" s="2"/>
      <c r="Y112" s="4"/>
      <c r="Z112" s="4"/>
      <c r="AA112" s="4"/>
      <c r="AB112" s="4"/>
      <c r="AC112" s="2"/>
      <c r="AD112" s="2"/>
      <c r="AE112" s="2"/>
      <c r="AF112" s="2"/>
      <c r="AN112" s="4"/>
      <c r="AO112" s="2"/>
      <c r="AR112" s="4"/>
    </row>
    <row r="113" spans="18:44" ht="15">
      <c r="R113" s="2"/>
      <c r="S113" t="s">
        <v>55</v>
      </c>
      <c r="T113" s="8" t="s">
        <v>0</v>
      </c>
      <c r="U113" s="2">
        <f>IF(V119=0,0,1)</f>
        <v>0</v>
      </c>
      <c r="V113">
        <f>+V112</f>
        <v>0</v>
      </c>
      <c r="W113" s="8" t="s">
        <v>0</v>
      </c>
      <c r="Y113" s="4"/>
      <c r="Z113" s="4"/>
      <c r="AA113" s="4"/>
      <c r="AB113" s="4"/>
      <c r="AC113" s="2"/>
      <c r="AD113" s="2"/>
      <c r="AE113" s="2"/>
      <c r="AF113" s="2"/>
      <c r="AN113" s="4"/>
      <c r="AO113" s="2"/>
      <c r="AR113" s="4"/>
    </row>
    <row r="114" spans="18:44" ht="15">
      <c r="R114" s="2"/>
      <c r="T114" s="8" t="s">
        <v>0</v>
      </c>
      <c r="U114">
        <f>IF(V119=0,0,0.5)</f>
        <v>0</v>
      </c>
      <c r="V114">
        <f>IF(V119=0,0,+V113+0.25)</f>
        <v>0</v>
      </c>
      <c r="W114" s="8" t="s">
        <v>0</v>
      </c>
      <c r="Y114" s="4"/>
      <c r="Z114" s="4"/>
      <c r="AA114" s="4"/>
      <c r="AB114" s="4"/>
      <c r="AC114" s="2"/>
      <c r="AD114" s="2"/>
      <c r="AE114" s="2"/>
      <c r="AF114" s="2"/>
      <c r="AN114" s="4"/>
      <c r="AO114" s="2"/>
      <c r="AR114" s="4"/>
    </row>
    <row r="115" spans="18:44" ht="15">
      <c r="R115" s="2"/>
      <c r="T115" s="8" t="s">
        <v>0</v>
      </c>
      <c r="U115" s="2">
        <f>IF(V119=0,0,0.25)</f>
        <v>0</v>
      </c>
      <c r="V115">
        <f>+V114</f>
        <v>0</v>
      </c>
      <c r="W115" s="8" t="s">
        <v>0</v>
      </c>
      <c r="X115" s="2"/>
      <c r="Y115" s="4"/>
      <c r="Z115" s="4"/>
      <c r="AA115" s="4"/>
      <c r="AB115" s="4"/>
      <c r="AC115" s="2"/>
      <c r="AD115" s="2"/>
      <c r="AE115" s="2"/>
      <c r="AF115" s="2"/>
      <c r="AN115" s="4"/>
      <c r="AO115" s="2"/>
      <c r="AR115" s="4"/>
    </row>
    <row r="116" spans="20:44" ht="15">
      <c r="T116" s="8" t="s">
        <v>0</v>
      </c>
      <c r="U116" s="2">
        <v>0</v>
      </c>
      <c r="V116">
        <f>+V113</f>
        <v>0</v>
      </c>
      <c r="W116" s="8" t="s">
        <v>0</v>
      </c>
      <c r="Y116" s="4"/>
      <c r="Z116" s="4"/>
      <c r="AA116" s="4"/>
      <c r="AB116" s="4"/>
      <c r="AC116" s="2"/>
      <c r="AD116" s="2"/>
      <c r="AE116" s="2"/>
      <c r="AF116" s="2"/>
      <c r="AN116" s="4"/>
      <c r="AO116" s="2"/>
      <c r="AR116" s="4"/>
    </row>
    <row r="117" spans="20:44" ht="15">
      <c r="T117" s="8" t="s">
        <v>0</v>
      </c>
      <c r="U117" s="2">
        <v>0</v>
      </c>
      <c r="V117">
        <f>IF(V119=0,0,+V119+0.25)</f>
        <v>0</v>
      </c>
      <c r="W117" s="8" t="s">
        <v>0</v>
      </c>
      <c r="Y117" s="4"/>
      <c r="Z117" s="4"/>
      <c r="AA117" s="4"/>
      <c r="AB117" s="4"/>
      <c r="AC117" s="2"/>
      <c r="AD117" s="2"/>
      <c r="AE117" s="2"/>
      <c r="AF117" s="2"/>
      <c r="AN117" s="4"/>
      <c r="AO117" s="2"/>
      <c r="AR117" s="4"/>
    </row>
    <row r="118" spans="20:44" ht="15">
      <c r="T118" s="8" t="s">
        <v>0</v>
      </c>
      <c r="U118" s="2">
        <f>+U115</f>
        <v>0</v>
      </c>
      <c r="V118">
        <f>+V119</f>
        <v>0</v>
      </c>
      <c r="W118" s="8" t="s">
        <v>0</v>
      </c>
      <c r="X118" s="2"/>
      <c r="Y118" s="4"/>
      <c r="Z118" s="4"/>
      <c r="AA118" s="4"/>
      <c r="AB118" s="4"/>
      <c r="AC118" s="2"/>
      <c r="AD118" s="2"/>
      <c r="AE118" s="2"/>
      <c r="AF118" s="2"/>
      <c r="AN118" s="4"/>
      <c r="AO118" s="2"/>
      <c r="AR118" s="4"/>
    </row>
    <row r="119" spans="20:44" ht="15">
      <c r="T119" s="8" t="s">
        <v>0</v>
      </c>
      <c r="U119">
        <f>IF(V119=0,0,$L$14)</f>
        <v>0</v>
      </c>
      <c r="V119" s="19">
        <f>-B31</f>
        <v>0</v>
      </c>
      <c r="W119" s="8" t="s">
        <v>0</v>
      </c>
      <c r="Y119" s="4"/>
      <c r="Z119" s="4"/>
      <c r="AA119" s="4"/>
      <c r="AB119" s="4"/>
      <c r="AE119" s="2"/>
      <c r="AF119" s="2"/>
      <c r="AR119" s="4"/>
    </row>
    <row r="120" spans="20:44" ht="15">
      <c r="T120" s="8" t="s">
        <v>0</v>
      </c>
      <c r="W120" s="8" t="s">
        <v>0</v>
      </c>
      <c r="Y120" s="4"/>
      <c r="Z120" s="4"/>
      <c r="AA120" s="4"/>
      <c r="AB120" s="4"/>
      <c r="AE120" s="2"/>
      <c r="AF120" s="2"/>
      <c r="AR120" s="4"/>
    </row>
    <row r="121" spans="20:44" ht="15">
      <c r="T121" s="8" t="s">
        <v>0</v>
      </c>
      <c r="U121">
        <f>IF(V128=0,0,+$L$15)</f>
        <v>0</v>
      </c>
      <c r="V121" s="19">
        <f>IF(V128=0,0,-V14-0.25)</f>
        <v>0</v>
      </c>
      <c r="W121" s="8" t="s">
        <v>0</v>
      </c>
      <c r="X121" s="2"/>
      <c r="Y121" s="4"/>
      <c r="Z121" s="4"/>
      <c r="AA121" s="4"/>
      <c r="AB121" s="4"/>
      <c r="AE121" s="2"/>
      <c r="AF121" s="2"/>
      <c r="AR121" s="4"/>
    </row>
    <row r="122" spans="20:44" ht="15">
      <c r="T122" s="8" t="s">
        <v>0</v>
      </c>
      <c r="U122" s="2">
        <f>IF(V128=0,0,1)</f>
        <v>0</v>
      </c>
      <c r="V122">
        <f>+V121</f>
        <v>0</v>
      </c>
      <c r="W122" s="8" t="s">
        <v>0</v>
      </c>
      <c r="Y122" s="4"/>
      <c r="Z122" s="4"/>
      <c r="AA122" s="4"/>
      <c r="AB122" s="4"/>
      <c r="AE122" s="2"/>
      <c r="AF122" s="2"/>
      <c r="AR122" s="4"/>
    </row>
    <row r="123" spans="20:44" ht="15">
      <c r="T123" s="8" t="s">
        <v>0</v>
      </c>
      <c r="U123">
        <f>IF(V128=0,0,0.5)</f>
        <v>0</v>
      </c>
      <c r="V123">
        <f>IF(V128=0,0,+V122+0.25)</f>
        <v>0</v>
      </c>
      <c r="W123" s="8" t="s">
        <v>0</v>
      </c>
      <c r="Y123" s="4"/>
      <c r="Z123" s="4"/>
      <c r="AA123" s="4"/>
      <c r="AB123" s="4"/>
      <c r="AE123" s="2"/>
      <c r="AF123" s="2"/>
      <c r="AR123" s="4"/>
    </row>
    <row r="124" spans="20:44" ht="15">
      <c r="T124" s="8" t="s">
        <v>0</v>
      </c>
      <c r="U124" s="2">
        <f>IF(V128=0,0,0.25)</f>
        <v>0</v>
      </c>
      <c r="V124">
        <f>+V123</f>
        <v>0</v>
      </c>
      <c r="W124" s="8" t="s">
        <v>0</v>
      </c>
      <c r="X124" s="2"/>
      <c r="Y124" s="4"/>
      <c r="Z124" s="4"/>
      <c r="AA124" s="4"/>
      <c r="AB124" s="4"/>
      <c r="AE124" s="2"/>
      <c r="AF124" s="2"/>
      <c r="AR124" s="4"/>
    </row>
    <row r="125" spans="20:44" ht="15">
      <c r="T125" s="8" t="s">
        <v>0</v>
      </c>
      <c r="U125" s="2">
        <v>0</v>
      </c>
      <c r="V125">
        <f>+V122</f>
        <v>0</v>
      </c>
      <c r="W125" s="8" t="s">
        <v>0</v>
      </c>
      <c r="Y125" s="4"/>
      <c r="Z125" s="4"/>
      <c r="AA125" s="4"/>
      <c r="AB125" s="4"/>
      <c r="AE125" s="2"/>
      <c r="AF125" s="2"/>
      <c r="AR125" s="4"/>
    </row>
    <row r="126" spans="20:44" ht="15">
      <c r="T126" s="8" t="s">
        <v>0</v>
      </c>
      <c r="U126" s="2">
        <v>0</v>
      </c>
      <c r="V126">
        <f>IF(V128=0,0,+V128+0.25)</f>
        <v>0</v>
      </c>
      <c r="W126" s="8" t="s">
        <v>0</v>
      </c>
      <c r="Y126" s="4"/>
      <c r="Z126" s="4"/>
      <c r="AA126" s="4"/>
      <c r="AB126" s="4"/>
      <c r="AE126" s="2"/>
      <c r="AF126" s="2"/>
      <c r="AR126" s="4"/>
    </row>
    <row r="127" spans="20:44" ht="15">
      <c r="T127" s="8" t="s">
        <v>0</v>
      </c>
      <c r="U127" s="2">
        <f>+U124</f>
        <v>0</v>
      </c>
      <c r="V127">
        <f>+V128</f>
        <v>0</v>
      </c>
      <c r="W127" s="8" t="s">
        <v>0</v>
      </c>
      <c r="X127" s="2"/>
      <c r="Y127" s="4"/>
      <c r="Z127" s="4"/>
      <c r="AA127" s="4"/>
      <c r="AB127" s="4"/>
      <c r="AE127" s="2"/>
      <c r="AF127" s="2"/>
      <c r="AR127" s="4"/>
    </row>
    <row r="128" spans="20:44" ht="15">
      <c r="T128" s="8" t="s">
        <v>0</v>
      </c>
      <c r="U128">
        <f>IF(V128=0,0,+$L$14)</f>
        <v>0</v>
      </c>
      <c r="V128" s="19">
        <f>-B32</f>
        <v>0</v>
      </c>
      <c r="W128" s="8" t="s">
        <v>0</v>
      </c>
      <c r="Y128" s="4"/>
      <c r="Z128" s="4"/>
      <c r="AA128" s="4"/>
      <c r="AB128" s="4"/>
      <c r="AR128" s="4"/>
    </row>
    <row r="129" spans="20:44" ht="15">
      <c r="T129" s="8" t="s">
        <v>0</v>
      </c>
      <c r="W129" s="8" t="s">
        <v>0</v>
      </c>
      <c r="Y129" s="4"/>
      <c r="Z129" s="4"/>
      <c r="AA129" s="2"/>
      <c r="AB129" s="2"/>
      <c r="AR129" s="4"/>
    </row>
    <row r="130" spans="20:44" ht="15">
      <c r="T130" s="8" t="s">
        <v>0</v>
      </c>
      <c r="U130">
        <f>IF(V137=0,0,+$L$15)</f>
        <v>0</v>
      </c>
      <c r="V130" s="19">
        <f>IF(V137=0,0,-V15-0.25)</f>
        <v>0</v>
      </c>
      <c r="W130" s="8" t="s">
        <v>0</v>
      </c>
      <c r="X130" s="2"/>
      <c r="Y130" s="4"/>
      <c r="Z130" s="4"/>
      <c r="AA130" s="2"/>
      <c r="AB130" s="2"/>
      <c r="AR130" s="4"/>
    </row>
    <row r="131" spans="20:44" ht="15">
      <c r="T131" s="8" t="s">
        <v>0</v>
      </c>
      <c r="U131" s="2">
        <f>IF(V137=0,0,1)</f>
        <v>0</v>
      </c>
      <c r="V131">
        <f>+V130</f>
        <v>0</v>
      </c>
      <c r="W131" s="8" t="s">
        <v>0</v>
      </c>
      <c r="Y131" s="4"/>
      <c r="Z131" s="4"/>
      <c r="AA131" s="2"/>
      <c r="AB131" s="2"/>
      <c r="AR131" s="4"/>
    </row>
    <row r="132" spans="20:44" ht="15">
      <c r="T132" s="8" t="s">
        <v>0</v>
      </c>
      <c r="U132">
        <f>IF(V137=0,0,0.5)</f>
        <v>0</v>
      </c>
      <c r="V132">
        <f>IF(V137=0,0,+V131+0.25)</f>
        <v>0</v>
      </c>
      <c r="W132" s="8" t="s">
        <v>0</v>
      </c>
      <c r="Y132" s="4"/>
      <c r="Z132" s="4"/>
      <c r="AA132" s="2"/>
      <c r="AB132" s="2"/>
      <c r="AR132" s="4"/>
    </row>
    <row r="133" spans="20:44" ht="15">
      <c r="T133" s="8" t="s">
        <v>0</v>
      </c>
      <c r="U133" s="2">
        <f>IF(V137=0,0,0.25)</f>
        <v>0</v>
      </c>
      <c r="V133">
        <f>+V132</f>
        <v>0</v>
      </c>
      <c r="W133" s="8" t="s">
        <v>0</v>
      </c>
      <c r="X133" s="2"/>
      <c r="Y133" s="4"/>
      <c r="Z133" s="4"/>
      <c r="AA133" s="2"/>
      <c r="AB133" s="2"/>
      <c r="AR133" s="4"/>
    </row>
    <row r="134" spans="20:44" ht="15">
      <c r="T134" s="8" t="s">
        <v>0</v>
      </c>
      <c r="U134" s="2">
        <v>0</v>
      </c>
      <c r="V134">
        <f>+V131</f>
        <v>0</v>
      </c>
      <c r="W134" s="8" t="s">
        <v>0</v>
      </c>
      <c r="Y134" s="4"/>
      <c r="Z134" s="4"/>
      <c r="AA134" s="2"/>
      <c r="AB134" s="2"/>
      <c r="AR134" s="4"/>
    </row>
    <row r="135" spans="20:44" ht="15">
      <c r="T135" s="8" t="s">
        <v>0</v>
      </c>
      <c r="U135" s="2">
        <v>0</v>
      </c>
      <c r="V135">
        <f>IF(V137=0,0,+V137+0.25)</f>
        <v>0</v>
      </c>
      <c r="W135" s="8" t="s">
        <v>0</v>
      </c>
      <c r="Y135" s="4"/>
      <c r="Z135" s="4"/>
      <c r="AA135" s="2"/>
      <c r="AB135" s="2"/>
      <c r="AR135" s="4"/>
    </row>
    <row r="136" spans="20:44" ht="15">
      <c r="T136" s="8" t="s">
        <v>0</v>
      </c>
      <c r="U136" s="2">
        <f>+U133</f>
        <v>0</v>
      </c>
      <c r="V136">
        <f>+V137</f>
        <v>0</v>
      </c>
      <c r="W136" s="8" t="s">
        <v>0</v>
      </c>
      <c r="X136" s="2"/>
      <c r="Y136" s="4"/>
      <c r="Z136" s="4"/>
      <c r="AA136" s="2"/>
      <c r="AB136" s="2"/>
      <c r="AR136" s="4"/>
    </row>
    <row r="137" spans="20:44" ht="15">
      <c r="T137" s="8" t="s">
        <v>0</v>
      </c>
      <c r="U137">
        <f>IF(V137=0,0,+$L$14)</f>
        <v>0</v>
      </c>
      <c r="V137" s="19">
        <f>-B33</f>
        <v>0</v>
      </c>
      <c r="W137" s="8" t="s">
        <v>0</v>
      </c>
      <c r="Y137" s="4"/>
      <c r="Z137" s="4"/>
      <c r="AA137" s="2"/>
      <c r="AB137" s="2"/>
      <c r="AR137" s="4"/>
    </row>
    <row r="138" spans="20:44" ht="15">
      <c r="T138" s="8" t="s">
        <v>0</v>
      </c>
      <c r="W138" s="8" t="s">
        <v>0</v>
      </c>
      <c r="Y138" s="4"/>
      <c r="Z138" s="4"/>
      <c r="AA138" s="2"/>
      <c r="AB138" s="2"/>
      <c r="AR138" s="4"/>
    </row>
    <row r="139" spans="20:44" ht="15">
      <c r="T139" s="8" t="s">
        <v>0</v>
      </c>
      <c r="U139">
        <f>IF(V146=0,0,+$L$15)</f>
        <v>0</v>
      </c>
      <c r="V139" s="19">
        <f>IF(V146=0,0,-V16-0.25)</f>
        <v>0</v>
      </c>
      <c r="W139" s="8" t="s">
        <v>0</v>
      </c>
      <c r="X139" s="2"/>
      <c r="Y139" s="4"/>
      <c r="Z139" s="4"/>
      <c r="AA139" s="2"/>
      <c r="AB139" s="2"/>
      <c r="AR139" s="4"/>
    </row>
    <row r="140" spans="20:44" ht="15">
      <c r="T140" s="8" t="s">
        <v>0</v>
      </c>
      <c r="U140" s="2">
        <f>IF(V146=0,0,1)</f>
        <v>0</v>
      </c>
      <c r="V140">
        <f>+V139</f>
        <v>0</v>
      </c>
      <c r="W140" s="8" t="s">
        <v>0</v>
      </c>
      <c r="Y140" s="4"/>
      <c r="Z140" s="4"/>
      <c r="AA140" s="2"/>
      <c r="AB140" s="2"/>
      <c r="AR140" s="4"/>
    </row>
    <row r="141" spans="20:44" ht="15">
      <c r="T141" s="8" t="s">
        <v>0</v>
      </c>
      <c r="U141">
        <f>IF(V146=0,0,0.5)</f>
        <v>0</v>
      </c>
      <c r="V141">
        <f>IF(V146=0,0,+V140+0.25)</f>
        <v>0</v>
      </c>
      <c r="W141" s="8" t="s">
        <v>0</v>
      </c>
      <c r="Y141" s="4"/>
      <c r="Z141" s="4"/>
      <c r="AA141" s="2"/>
      <c r="AB141" s="2"/>
      <c r="AR141" s="4"/>
    </row>
    <row r="142" spans="20:44" ht="15">
      <c r="T142" s="8" t="s">
        <v>0</v>
      </c>
      <c r="U142" s="2">
        <f>IF(V146=0,0,0.25)</f>
        <v>0</v>
      </c>
      <c r="V142">
        <f>+V141</f>
        <v>0</v>
      </c>
      <c r="W142" s="8" t="s">
        <v>0</v>
      </c>
      <c r="X142" s="2"/>
      <c r="Y142" s="4"/>
      <c r="Z142" s="4"/>
      <c r="AA142" s="2"/>
      <c r="AB142" s="2"/>
      <c r="AR142" s="4"/>
    </row>
    <row r="143" spans="20:28" ht="15">
      <c r="T143" s="8" t="s">
        <v>0</v>
      </c>
      <c r="U143" s="2">
        <v>0</v>
      </c>
      <c r="V143">
        <f>+V140</f>
        <v>0</v>
      </c>
      <c r="W143" s="8" t="s">
        <v>0</v>
      </c>
      <c r="Y143" s="4"/>
      <c r="Z143" s="4"/>
      <c r="AA143" s="2"/>
      <c r="AB143" s="2"/>
    </row>
    <row r="144" spans="20:28" ht="15">
      <c r="T144" s="8" t="s">
        <v>0</v>
      </c>
      <c r="U144" s="2">
        <v>0</v>
      </c>
      <c r="V144">
        <f>IF(V146=0,0,+V146+0.25)</f>
        <v>0</v>
      </c>
      <c r="W144" s="8" t="s">
        <v>0</v>
      </c>
      <c r="Y144" s="4"/>
      <c r="Z144" s="4"/>
      <c r="AA144" s="2"/>
      <c r="AB144" s="2"/>
    </row>
    <row r="145" spans="20:28" ht="15">
      <c r="T145" s="8" t="s">
        <v>0</v>
      </c>
      <c r="U145" s="2">
        <f>+U142</f>
        <v>0</v>
      </c>
      <c r="V145">
        <f>+V146</f>
        <v>0</v>
      </c>
      <c r="W145" s="8" t="s">
        <v>0</v>
      </c>
      <c r="X145" s="2"/>
      <c r="Y145" s="4"/>
      <c r="Z145" s="4"/>
      <c r="AA145" s="2"/>
      <c r="AB145" s="2"/>
    </row>
    <row r="146" spans="20:28" ht="15">
      <c r="T146" s="8" t="s">
        <v>0</v>
      </c>
      <c r="U146">
        <f>IF(V146=0,0,+$L$14)</f>
        <v>0</v>
      </c>
      <c r="V146" s="19">
        <f>-B34</f>
        <v>0</v>
      </c>
      <c r="W146" s="8" t="s">
        <v>0</v>
      </c>
      <c r="Y146" s="4"/>
      <c r="Z146" s="4"/>
      <c r="AA146" s="2"/>
      <c r="AB146" s="2"/>
    </row>
    <row r="147" spans="20:28" ht="15">
      <c r="T147" s="8" t="s">
        <v>0</v>
      </c>
      <c r="W147" s="8" t="s">
        <v>0</v>
      </c>
      <c r="Y147" s="4"/>
      <c r="Z147" s="4"/>
      <c r="AA147" s="2"/>
      <c r="AB147" s="2"/>
    </row>
    <row r="148" spans="20:28" ht="15">
      <c r="T148" s="8" t="s">
        <v>0</v>
      </c>
      <c r="U148">
        <f>IF(V155=0,0,+$L$15)</f>
        <v>0</v>
      </c>
      <c r="V148" s="19">
        <f>IF(V155=0,0,-V17-0.25)</f>
        <v>0</v>
      </c>
      <c r="W148" s="8" t="s">
        <v>0</v>
      </c>
      <c r="X148" s="2"/>
      <c r="Y148" s="4"/>
      <c r="Z148" s="4"/>
      <c r="AA148" s="2"/>
      <c r="AB148" s="2"/>
    </row>
    <row r="149" spans="20:28" ht="15">
      <c r="T149" s="8" t="s">
        <v>0</v>
      </c>
      <c r="U149" s="2">
        <f>IF(V155=0,0,1)</f>
        <v>0</v>
      </c>
      <c r="V149">
        <f>+V148</f>
        <v>0</v>
      </c>
      <c r="W149" s="8" t="s">
        <v>0</v>
      </c>
      <c r="Y149" s="4"/>
      <c r="Z149" s="4"/>
      <c r="AA149" s="2"/>
      <c r="AB149" s="2"/>
    </row>
    <row r="150" spans="20:28" ht="15">
      <c r="T150" s="8" t="s">
        <v>0</v>
      </c>
      <c r="U150">
        <f>IF(V155=0,0,0.5)</f>
        <v>0</v>
      </c>
      <c r="V150">
        <f>IF(V155=0,0,+V149+0.25)</f>
        <v>0</v>
      </c>
      <c r="W150" s="8" t="s">
        <v>0</v>
      </c>
      <c r="Y150" s="4"/>
      <c r="Z150" s="4"/>
      <c r="AA150" s="2"/>
      <c r="AB150" s="2"/>
    </row>
    <row r="151" spans="20:28" ht="15">
      <c r="T151" s="8" t="s">
        <v>0</v>
      </c>
      <c r="U151" s="2">
        <f>IF(V155=0,0,0.25)</f>
        <v>0</v>
      </c>
      <c r="V151">
        <f>+V150</f>
        <v>0</v>
      </c>
      <c r="W151" s="8" t="s">
        <v>0</v>
      </c>
      <c r="X151" s="2"/>
      <c r="Y151" s="4"/>
      <c r="Z151" s="4"/>
      <c r="AA151" s="2"/>
      <c r="AB151" s="2"/>
    </row>
    <row r="152" spans="20:28" ht="15">
      <c r="T152" s="8" t="s">
        <v>0</v>
      </c>
      <c r="U152" s="2">
        <v>0</v>
      </c>
      <c r="V152">
        <f>+V149</f>
        <v>0</v>
      </c>
      <c r="W152" s="8" t="s">
        <v>0</v>
      </c>
      <c r="Y152" s="4"/>
      <c r="Z152" s="4"/>
      <c r="AA152" s="2"/>
      <c r="AB152" s="2"/>
    </row>
    <row r="153" spans="20:28" ht="15">
      <c r="T153" s="8" t="s">
        <v>0</v>
      </c>
      <c r="U153" s="2">
        <v>0</v>
      </c>
      <c r="V153">
        <f>IF(V155=0,0,+V155+0.25)</f>
        <v>0</v>
      </c>
      <c r="W153" s="8" t="s">
        <v>0</v>
      </c>
      <c r="Y153" s="4"/>
      <c r="Z153" s="4"/>
      <c r="AA153" s="2"/>
      <c r="AB153" s="2"/>
    </row>
    <row r="154" spans="20:28" ht="15">
      <c r="T154" s="8" t="s">
        <v>0</v>
      </c>
      <c r="U154" s="2">
        <f>+U151</f>
        <v>0</v>
      </c>
      <c r="V154">
        <f>+V155</f>
        <v>0</v>
      </c>
      <c r="W154" s="8" t="s">
        <v>0</v>
      </c>
      <c r="X154" s="2"/>
      <c r="Y154" s="4"/>
      <c r="Z154" s="4"/>
      <c r="AA154" s="2"/>
      <c r="AB154" s="2"/>
    </row>
    <row r="155" spans="20:28" ht="15">
      <c r="T155" s="8" t="s">
        <v>0</v>
      </c>
      <c r="U155">
        <f>IF(V155=0,0,+$L$14)</f>
        <v>0</v>
      </c>
      <c r="V155" s="19">
        <f>-B35</f>
        <v>0</v>
      </c>
      <c r="W155" s="8" t="s">
        <v>0</v>
      </c>
      <c r="Y155" s="4"/>
      <c r="Z155" s="4"/>
      <c r="AA155" s="2"/>
      <c r="AB155" s="2"/>
    </row>
    <row r="156" spans="20:28" ht="15">
      <c r="T156" s="8" t="s">
        <v>0</v>
      </c>
      <c r="W156" s="8" t="s">
        <v>0</v>
      </c>
      <c r="Y156" s="4"/>
      <c r="Z156" s="4"/>
      <c r="AA156" s="2"/>
      <c r="AB156" s="2"/>
    </row>
    <row r="157" spans="20:28" ht="15">
      <c r="T157" s="8" t="s">
        <v>0</v>
      </c>
      <c r="U157">
        <f>IF(V164=0,0,+$L$15)</f>
        <v>0</v>
      </c>
      <c r="V157" s="19">
        <f>IF(V164=0,0,-V18-0.25)</f>
        <v>0</v>
      </c>
      <c r="W157" s="8" t="s">
        <v>0</v>
      </c>
      <c r="X157" s="2"/>
      <c r="Y157" s="4"/>
      <c r="Z157" s="4"/>
      <c r="AA157" s="2"/>
      <c r="AB157" s="2"/>
    </row>
    <row r="158" spans="20:28" ht="15">
      <c r="T158" s="8" t="s">
        <v>0</v>
      </c>
      <c r="U158" s="2">
        <f>IF(V164=0,0,1)</f>
        <v>0</v>
      </c>
      <c r="V158">
        <f>+V157</f>
        <v>0</v>
      </c>
      <c r="W158" s="8" t="s">
        <v>0</v>
      </c>
      <c r="Y158" s="4"/>
      <c r="Z158" s="2"/>
      <c r="AA158" s="2"/>
      <c r="AB158" s="2"/>
    </row>
    <row r="159" spans="20:28" ht="15">
      <c r="T159" s="8" t="s">
        <v>0</v>
      </c>
      <c r="U159">
        <f>IF(V164=0,0,0.5)</f>
        <v>0</v>
      </c>
      <c r="V159">
        <f>IF(V164=0,0,+V158+0.25)</f>
        <v>0</v>
      </c>
      <c r="W159" s="8" t="s">
        <v>0</v>
      </c>
      <c r="Y159" s="4"/>
      <c r="Z159" s="2"/>
      <c r="AA159" s="2"/>
      <c r="AB159" s="2"/>
    </row>
    <row r="160" spans="20:28" ht="15">
      <c r="T160" s="8" t="s">
        <v>0</v>
      </c>
      <c r="U160" s="2">
        <f>IF(V164=0,0,0.25)</f>
        <v>0</v>
      </c>
      <c r="V160">
        <f>+V159</f>
        <v>0</v>
      </c>
      <c r="W160" s="8" t="s">
        <v>0</v>
      </c>
      <c r="X160" s="2"/>
      <c r="Y160" s="4"/>
      <c r="Z160" s="2"/>
      <c r="AA160" s="2"/>
      <c r="AB160" s="2"/>
    </row>
    <row r="161" spans="20:28" ht="15">
      <c r="T161" s="8" t="s">
        <v>0</v>
      </c>
      <c r="U161" s="2">
        <v>0</v>
      </c>
      <c r="V161">
        <f>+V158</f>
        <v>0</v>
      </c>
      <c r="W161" s="8" t="s">
        <v>0</v>
      </c>
      <c r="Z161" s="2"/>
      <c r="AA161" s="2"/>
      <c r="AB161" s="2"/>
    </row>
    <row r="162" spans="20:28" ht="15">
      <c r="T162" s="8" t="s">
        <v>0</v>
      </c>
      <c r="U162" s="2">
        <v>0</v>
      </c>
      <c r="V162">
        <f>IF(V164=0,0,+V164+0.25)</f>
        <v>0</v>
      </c>
      <c r="W162" s="8" t="s">
        <v>0</v>
      </c>
      <c r="Z162" s="2"/>
      <c r="AA162" s="2"/>
      <c r="AB162" s="2"/>
    </row>
    <row r="163" spans="20:28" ht="15">
      <c r="T163" s="8" t="s">
        <v>0</v>
      </c>
      <c r="U163" s="2">
        <f>+U160</f>
        <v>0</v>
      </c>
      <c r="V163">
        <f>+V164</f>
        <v>0</v>
      </c>
      <c r="W163" s="8" t="s">
        <v>0</v>
      </c>
      <c r="X163" s="2"/>
      <c r="Z163" s="2"/>
      <c r="AA163" s="2"/>
      <c r="AB163" s="2"/>
    </row>
    <row r="164" spans="20:28" ht="15">
      <c r="T164" s="8" t="s">
        <v>0</v>
      </c>
      <c r="U164">
        <f>IF(V164=0,0,+$L$14)</f>
        <v>0</v>
      </c>
      <c r="V164" s="19">
        <f>-B36</f>
        <v>0</v>
      </c>
      <c r="W164" s="8" t="s">
        <v>0</v>
      </c>
      <c r="Z164" s="2"/>
      <c r="AA164" s="2"/>
      <c r="AB164" s="2"/>
    </row>
    <row r="165" spans="20:28" ht="15">
      <c r="T165" s="8" t="s">
        <v>0</v>
      </c>
      <c r="W165" s="8" t="s">
        <v>0</v>
      </c>
      <c r="Z165" s="2"/>
      <c r="AA165" s="2"/>
      <c r="AB165" s="2"/>
    </row>
    <row r="166" spans="20:28" ht="15">
      <c r="T166" s="8" t="s">
        <v>0</v>
      </c>
      <c r="U166">
        <f>IF(V173=0,0,+$L$15)</f>
        <v>0</v>
      </c>
      <c r="V166" s="19">
        <f>IF(V173=0,0,-V19-0.25)</f>
        <v>0</v>
      </c>
      <c r="W166" s="8" t="s">
        <v>0</v>
      </c>
      <c r="X166" s="2"/>
      <c r="Z166" s="2"/>
      <c r="AA166" s="2"/>
      <c r="AB166" s="2"/>
    </row>
    <row r="167" spans="20:28" ht="15">
      <c r="T167" s="8" t="s">
        <v>0</v>
      </c>
      <c r="U167" s="2">
        <f>IF(V173=0,0,1)</f>
        <v>0</v>
      </c>
      <c r="V167">
        <f>+V166</f>
        <v>0</v>
      </c>
      <c r="W167" s="8" t="s">
        <v>0</v>
      </c>
      <c r="Z167" s="2"/>
      <c r="AA167" s="2"/>
      <c r="AB167" s="2"/>
    </row>
    <row r="168" spans="20:28" ht="15">
      <c r="T168" s="8" t="s">
        <v>0</v>
      </c>
      <c r="U168">
        <f>IF(V173=0,0,0.5)</f>
        <v>0</v>
      </c>
      <c r="V168">
        <f>IF(V173=0,0,+V167+0.25)</f>
        <v>0</v>
      </c>
      <c r="W168" s="8" t="s">
        <v>0</v>
      </c>
      <c r="Z168" s="2"/>
      <c r="AA168" s="2"/>
      <c r="AB168" s="2"/>
    </row>
    <row r="169" spans="20:28" ht="15">
      <c r="T169" s="8" t="s">
        <v>0</v>
      </c>
      <c r="U169" s="2">
        <f>IF(V173=0,0,0.25)</f>
        <v>0</v>
      </c>
      <c r="V169">
        <f>+V168</f>
        <v>0</v>
      </c>
      <c r="W169" s="8" t="s">
        <v>0</v>
      </c>
      <c r="X169" s="2"/>
      <c r="Z169" s="2"/>
      <c r="AA169" s="2"/>
      <c r="AB169" s="2"/>
    </row>
    <row r="170" spans="20:28" ht="15">
      <c r="T170" s="8" t="s">
        <v>0</v>
      </c>
      <c r="U170" s="2">
        <v>0</v>
      </c>
      <c r="V170">
        <f>+V167</f>
        <v>0</v>
      </c>
      <c r="W170" s="8" t="s">
        <v>0</v>
      </c>
      <c r="Z170" s="2"/>
      <c r="AA170" s="2"/>
      <c r="AB170" s="2"/>
    </row>
    <row r="171" spans="20:28" ht="15">
      <c r="T171" s="8" t="s">
        <v>0</v>
      </c>
      <c r="U171" s="2">
        <v>0</v>
      </c>
      <c r="V171">
        <f>IF(V173=0,0,+V173+0.25)</f>
        <v>0</v>
      </c>
      <c r="W171" s="8" t="s">
        <v>0</v>
      </c>
      <c r="Z171" s="2"/>
      <c r="AA171" s="2"/>
      <c r="AB171" s="2"/>
    </row>
    <row r="172" spans="20:28" ht="15">
      <c r="T172" s="8" t="s">
        <v>0</v>
      </c>
      <c r="U172" s="2">
        <f>+U169</f>
        <v>0</v>
      </c>
      <c r="V172">
        <f>+V173</f>
        <v>0</v>
      </c>
      <c r="W172" s="8" t="s">
        <v>0</v>
      </c>
      <c r="X172" s="2"/>
      <c r="Z172" s="2"/>
      <c r="AA172" s="2"/>
      <c r="AB172" s="2"/>
    </row>
    <row r="173" spans="20:28" ht="15">
      <c r="T173" s="8" t="s">
        <v>0</v>
      </c>
      <c r="U173">
        <f>IF(V173=0,0,$L$14)</f>
        <v>0</v>
      </c>
      <c r="V173" s="19">
        <f>-B37</f>
        <v>0</v>
      </c>
      <c r="W173" s="8" t="s">
        <v>0</v>
      </c>
      <c r="Z173" s="2"/>
      <c r="AA173" s="2"/>
      <c r="AB173" s="2"/>
    </row>
    <row r="174" spans="20:28" ht="15">
      <c r="T174" s="8" t="s">
        <v>0</v>
      </c>
      <c r="V174" s="2"/>
      <c r="W174" s="8" t="s">
        <v>0</v>
      </c>
      <c r="Y174" s="2"/>
      <c r="Z174" s="2"/>
      <c r="AA174" s="2"/>
      <c r="AB174" s="2"/>
    </row>
    <row r="175" spans="20:28" ht="15">
      <c r="T175" s="8" t="s">
        <v>0</v>
      </c>
      <c r="U175">
        <f>IF(V182=0,0,+$L$15)</f>
        <v>0</v>
      </c>
      <c r="V175" s="19">
        <f>IF(V182=0,0,-V20-0.25)</f>
        <v>0</v>
      </c>
      <c r="W175" s="8" t="s">
        <v>0</v>
      </c>
      <c r="Y175" s="2"/>
      <c r="Z175" s="2"/>
      <c r="AA175" s="2"/>
      <c r="AB175" s="2"/>
    </row>
    <row r="176" spans="20:28" ht="15">
      <c r="T176" s="8" t="s">
        <v>0</v>
      </c>
      <c r="U176" s="2">
        <f>IF(V182=0,0,1)</f>
        <v>0</v>
      </c>
      <c r="V176">
        <f>+V175</f>
        <v>0</v>
      </c>
      <c r="W176" s="8" t="s">
        <v>0</v>
      </c>
      <c r="Y176" s="2"/>
      <c r="Z176" s="2"/>
      <c r="AA176" s="2"/>
      <c r="AB176" s="2"/>
    </row>
    <row r="177" spans="20:28" ht="15">
      <c r="T177" s="8" t="s">
        <v>0</v>
      </c>
      <c r="U177">
        <f>IF(V182=0,0,0.5)</f>
        <v>0</v>
      </c>
      <c r="V177">
        <f>IF(V182=0,0,+V176+0.25)</f>
        <v>0</v>
      </c>
      <c r="W177" s="8" t="s">
        <v>0</v>
      </c>
      <c r="Y177" s="2"/>
      <c r="Z177" s="2"/>
      <c r="AA177" s="2"/>
      <c r="AB177" s="2"/>
    </row>
    <row r="178" spans="20:28" ht="15">
      <c r="T178" s="8" t="s">
        <v>0</v>
      </c>
      <c r="U178" s="2">
        <f>IF(V182=0,0,0.25)</f>
        <v>0</v>
      </c>
      <c r="V178">
        <f>+V177</f>
        <v>0</v>
      </c>
      <c r="W178" s="8" t="s">
        <v>0</v>
      </c>
      <c r="Y178" s="2"/>
      <c r="Z178" s="2"/>
      <c r="AA178" s="2"/>
      <c r="AB178" s="2"/>
    </row>
    <row r="179" spans="20:28" ht="15">
      <c r="T179" s="8" t="s">
        <v>0</v>
      </c>
      <c r="U179" s="2">
        <v>0</v>
      </c>
      <c r="V179">
        <f>+V176</f>
        <v>0</v>
      </c>
      <c r="W179" s="8" t="s">
        <v>0</v>
      </c>
      <c r="Y179" s="2"/>
      <c r="Z179" s="2"/>
      <c r="AA179" s="2"/>
      <c r="AB179" s="2"/>
    </row>
    <row r="180" spans="20:28" ht="15">
      <c r="T180" s="8" t="s">
        <v>0</v>
      </c>
      <c r="U180" s="2">
        <v>0</v>
      </c>
      <c r="V180">
        <f>IF(V182=0,0,+V182+0.25)</f>
        <v>0</v>
      </c>
      <c r="W180" s="8" t="s">
        <v>0</v>
      </c>
      <c r="Y180" s="2"/>
      <c r="Z180" s="2"/>
      <c r="AA180" s="2"/>
      <c r="AB180" s="2"/>
    </row>
    <row r="181" spans="20:28" ht="15">
      <c r="T181" s="8" t="s">
        <v>0</v>
      </c>
      <c r="U181" s="2">
        <f>+U178</f>
        <v>0</v>
      </c>
      <c r="V181">
        <f>+V182</f>
        <v>0</v>
      </c>
      <c r="W181" s="8" t="s">
        <v>0</v>
      </c>
      <c r="Y181" s="2"/>
      <c r="Z181" s="2"/>
      <c r="AA181" s="2"/>
      <c r="AB181" s="2"/>
    </row>
    <row r="182" spans="20:28" ht="15">
      <c r="T182" s="8" t="s">
        <v>0</v>
      </c>
      <c r="U182">
        <f>IF(V182=0,0,$L$14)</f>
        <v>0</v>
      </c>
      <c r="V182" s="19">
        <f>-B38</f>
        <v>0</v>
      </c>
      <c r="W182" s="8" t="s">
        <v>0</v>
      </c>
      <c r="Y182" s="2"/>
      <c r="Z182" s="2"/>
      <c r="AA182" s="2"/>
      <c r="AB182" s="2"/>
    </row>
    <row r="183" spans="20:28" ht="15">
      <c r="T183" s="8" t="s">
        <v>0</v>
      </c>
      <c r="W183" s="8" t="s">
        <v>0</v>
      </c>
      <c r="Y183" s="2"/>
      <c r="Z183" s="2"/>
      <c r="AA183" s="2"/>
      <c r="AB183" s="2"/>
    </row>
    <row r="184" spans="20:28" ht="15">
      <c r="T184" s="8" t="s">
        <v>0</v>
      </c>
      <c r="U184">
        <f>IF(V191=0,0,+$L$15)</f>
        <v>0</v>
      </c>
      <c r="V184" s="19">
        <f>IF(V191=0,0,-V21-0.25)</f>
        <v>0</v>
      </c>
      <c r="W184" s="8" t="s">
        <v>0</v>
      </c>
      <c r="Y184" s="2"/>
      <c r="Z184" s="2"/>
      <c r="AA184" s="2"/>
      <c r="AB184" s="2"/>
    </row>
    <row r="185" spans="20:28" ht="15">
      <c r="T185" s="8" t="s">
        <v>0</v>
      </c>
      <c r="U185" s="2">
        <f>IF(V191=0,0,1)</f>
        <v>0</v>
      </c>
      <c r="V185">
        <f>+V184</f>
        <v>0</v>
      </c>
      <c r="W185" s="8" t="s">
        <v>0</v>
      </c>
      <c r="Y185" s="2"/>
      <c r="Z185" s="2"/>
      <c r="AA185" s="2"/>
      <c r="AB185" s="2"/>
    </row>
    <row r="186" spans="20:28" ht="15">
      <c r="T186" s="8" t="s">
        <v>0</v>
      </c>
      <c r="U186">
        <f>IF(V191=0,0,0.5)</f>
        <v>0</v>
      </c>
      <c r="V186">
        <f>IF(V191=0,0,+V185+0.25)</f>
        <v>0</v>
      </c>
      <c r="W186" s="8" t="s">
        <v>0</v>
      </c>
      <c r="Y186" s="2"/>
      <c r="Z186" s="2"/>
      <c r="AA186" s="2"/>
      <c r="AB186" s="2"/>
    </row>
    <row r="187" spans="20:28" ht="15">
      <c r="T187" s="8" t="s">
        <v>0</v>
      </c>
      <c r="U187" s="2">
        <f>IF(V191=0,0,0.25)</f>
        <v>0</v>
      </c>
      <c r="V187">
        <f>+V186</f>
        <v>0</v>
      </c>
      <c r="W187" s="8" t="s">
        <v>0</v>
      </c>
      <c r="Y187" s="2"/>
      <c r="Z187" s="2"/>
      <c r="AA187" s="2"/>
      <c r="AB187" s="2"/>
    </row>
    <row r="188" spans="20:28" ht="15">
      <c r="T188" s="8" t="s">
        <v>0</v>
      </c>
      <c r="U188" s="2">
        <v>0</v>
      </c>
      <c r="V188">
        <f>+V185</f>
        <v>0</v>
      </c>
      <c r="W188" s="8" t="s">
        <v>0</v>
      </c>
      <c r="Y188" s="2"/>
      <c r="Z188" s="2"/>
      <c r="AA188" s="2"/>
      <c r="AB188" s="2"/>
    </row>
    <row r="189" spans="20:28" ht="15">
      <c r="T189" s="8" t="s">
        <v>0</v>
      </c>
      <c r="U189" s="2">
        <v>0</v>
      </c>
      <c r="V189">
        <f>IF(V191=0,0,+V191+0.25)</f>
        <v>0</v>
      </c>
      <c r="W189" s="8" t="s">
        <v>0</v>
      </c>
      <c r="Y189" s="2"/>
      <c r="Z189" s="2"/>
      <c r="AA189" s="2"/>
      <c r="AB189" s="2"/>
    </row>
    <row r="190" spans="20:28" ht="15">
      <c r="T190" s="8" t="s">
        <v>0</v>
      </c>
      <c r="U190" s="2">
        <f>+U187</f>
        <v>0</v>
      </c>
      <c r="V190">
        <f>+V191</f>
        <v>0</v>
      </c>
      <c r="W190" s="8" t="s">
        <v>0</v>
      </c>
      <c r="Y190" s="2"/>
      <c r="Z190" s="2"/>
      <c r="AA190" s="2"/>
      <c r="AB190" s="2"/>
    </row>
    <row r="191" spans="20:28" ht="15">
      <c r="T191" s="8" t="s">
        <v>0</v>
      </c>
      <c r="U191">
        <f>IF(V191=0,0,$L$14)</f>
        <v>0</v>
      </c>
      <c r="V191" s="19">
        <f>-B39</f>
        <v>0</v>
      </c>
      <c r="W191" s="8" t="s">
        <v>0</v>
      </c>
      <c r="Y191" s="2"/>
      <c r="Z191" s="2"/>
      <c r="AA191" s="2"/>
      <c r="AB191" s="2"/>
    </row>
    <row r="192" spans="20:28" ht="15">
      <c r="T192" s="8" t="s">
        <v>0</v>
      </c>
      <c r="W192" s="8" t="s">
        <v>0</v>
      </c>
      <c r="Y192" s="2"/>
      <c r="Z192" s="2"/>
      <c r="AA192" s="2"/>
      <c r="AB192" s="2"/>
    </row>
    <row r="193" spans="20:28" ht="15">
      <c r="T193" s="8" t="s">
        <v>0</v>
      </c>
      <c r="U193">
        <f>IF(V200=0,0,+$L$15)</f>
        <v>0</v>
      </c>
      <c r="V193" s="19">
        <f>IF(V200=0,0,-V22-0.25)</f>
        <v>0</v>
      </c>
      <c r="W193" s="8" t="s">
        <v>0</v>
      </c>
      <c r="Y193" s="2"/>
      <c r="Z193" s="2"/>
      <c r="AA193" s="2"/>
      <c r="AB193" s="2"/>
    </row>
    <row r="194" spans="20:28" ht="15">
      <c r="T194" s="8" t="s">
        <v>0</v>
      </c>
      <c r="U194" s="2">
        <f>IF(V200=0,0,1)</f>
        <v>0</v>
      </c>
      <c r="V194">
        <f>+V193</f>
        <v>0</v>
      </c>
      <c r="W194" s="8" t="s">
        <v>0</v>
      </c>
      <c r="Y194" s="2"/>
      <c r="Z194" s="2"/>
      <c r="AA194" s="2"/>
      <c r="AB194" s="2"/>
    </row>
    <row r="195" spans="20:28" ht="15">
      <c r="T195" s="8" t="s">
        <v>0</v>
      </c>
      <c r="U195">
        <f>IF(V200=0,0,0.5)</f>
        <v>0</v>
      </c>
      <c r="V195">
        <f>IF(V200=0,0,+V194+0.25)</f>
        <v>0</v>
      </c>
      <c r="W195" s="8" t="s">
        <v>0</v>
      </c>
      <c r="Y195" s="2"/>
      <c r="Z195" s="2"/>
      <c r="AA195" s="2"/>
      <c r="AB195" s="2"/>
    </row>
    <row r="196" spans="20:28" ht="15">
      <c r="T196" s="8" t="s">
        <v>0</v>
      </c>
      <c r="U196" s="2">
        <f>IF(V200=0,0,0.25)</f>
        <v>0</v>
      </c>
      <c r="V196">
        <f>+V195</f>
        <v>0</v>
      </c>
      <c r="W196" s="8" t="s">
        <v>0</v>
      </c>
      <c r="Y196" s="2"/>
      <c r="Z196" s="2"/>
      <c r="AA196" s="2"/>
      <c r="AB196" s="2"/>
    </row>
    <row r="197" spans="20:28" ht="15">
      <c r="T197" s="8" t="s">
        <v>0</v>
      </c>
      <c r="U197" s="2">
        <v>0</v>
      </c>
      <c r="V197">
        <f>+V194</f>
        <v>0</v>
      </c>
      <c r="W197" s="8" t="s">
        <v>0</v>
      </c>
      <c r="Y197" s="2"/>
      <c r="Z197" s="2"/>
      <c r="AA197" s="2"/>
      <c r="AB197" s="2"/>
    </row>
    <row r="198" spans="20:28" ht="15">
      <c r="T198" s="8" t="s">
        <v>0</v>
      </c>
      <c r="U198" s="2">
        <v>0</v>
      </c>
      <c r="V198">
        <f>IF(V200=0,0,+V200+0.25)</f>
        <v>0</v>
      </c>
      <c r="W198" s="8" t="s">
        <v>0</v>
      </c>
      <c r="Y198" s="2"/>
      <c r="Z198" s="2"/>
      <c r="AA198" s="2"/>
      <c r="AB198" s="2"/>
    </row>
    <row r="199" spans="20:28" ht="15">
      <c r="T199" s="8" t="s">
        <v>0</v>
      </c>
      <c r="U199" s="2">
        <f>+U196</f>
        <v>0</v>
      </c>
      <c r="V199">
        <f>+V200</f>
        <v>0</v>
      </c>
      <c r="W199" s="8" t="s">
        <v>0</v>
      </c>
      <c r="Y199" s="2"/>
      <c r="Z199" s="2"/>
      <c r="AA199" s="2"/>
      <c r="AB199" s="2"/>
    </row>
    <row r="200" spans="20:28" ht="15">
      <c r="T200" s="8" t="s">
        <v>0</v>
      </c>
      <c r="U200">
        <f>IF(V200=0,0,+$L$14)</f>
        <v>0</v>
      </c>
      <c r="V200" s="19">
        <f>-B40</f>
        <v>0</v>
      </c>
      <c r="W200" s="8" t="s">
        <v>0</v>
      </c>
      <c r="Y200" s="2"/>
      <c r="Z200" s="2"/>
      <c r="AA200" s="2"/>
      <c r="AB200" s="2"/>
    </row>
    <row r="201" spans="20:28" ht="15">
      <c r="T201" s="8" t="s">
        <v>0</v>
      </c>
      <c r="W201" s="8" t="s">
        <v>0</v>
      </c>
      <c r="Y201" s="2"/>
      <c r="Z201" s="2"/>
      <c r="AA201" s="2"/>
      <c r="AB201" s="2"/>
    </row>
    <row r="202" spans="20:28" ht="15">
      <c r="T202" s="8" t="s">
        <v>0</v>
      </c>
      <c r="U202">
        <f>IF(V209=0,0,+$L$15)</f>
        <v>0</v>
      </c>
      <c r="V202" s="19">
        <f>IF(V209=0,0,-V23-0.25)</f>
        <v>0</v>
      </c>
      <c r="W202" s="8" t="s">
        <v>0</v>
      </c>
      <c r="Y202" s="2"/>
      <c r="Z202" s="2"/>
      <c r="AA202" s="2"/>
      <c r="AB202" s="2"/>
    </row>
    <row r="203" spans="20:28" ht="15">
      <c r="T203" s="8" t="s">
        <v>0</v>
      </c>
      <c r="U203" s="2">
        <f>IF(V209=0,0,1)</f>
        <v>0</v>
      </c>
      <c r="V203">
        <f>+V202</f>
        <v>0</v>
      </c>
      <c r="W203" s="8" t="s">
        <v>0</v>
      </c>
      <c r="Y203" s="2"/>
      <c r="Z203" s="2"/>
      <c r="AA203" s="2"/>
      <c r="AB203" s="2"/>
    </row>
    <row r="204" spans="20:28" ht="15">
      <c r="T204" s="8" t="s">
        <v>0</v>
      </c>
      <c r="U204">
        <f>IF(V209=0,0,0.5)</f>
        <v>0</v>
      </c>
      <c r="V204">
        <f>IF(V209=0,0,+V203+0.25)</f>
        <v>0</v>
      </c>
      <c r="W204" s="8" t="s">
        <v>0</v>
      </c>
      <c r="Z204" s="2"/>
      <c r="AA204" s="2"/>
      <c r="AB204" s="2"/>
    </row>
    <row r="205" spans="20:28" ht="15">
      <c r="T205" s="8" t="s">
        <v>0</v>
      </c>
      <c r="U205" s="2">
        <f>IF(V209=0,0,0.25)</f>
        <v>0</v>
      </c>
      <c r="V205">
        <f>+V204</f>
        <v>0</v>
      </c>
      <c r="W205" s="8" t="s">
        <v>0</v>
      </c>
      <c r="Z205" s="2"/>
      <c r="AA205" s="2"/>
      <c r="AB205" s="2"/>
    </row>
    <row r="206" spans="20:28" ht="15">
      <c r="T206" s="8" t="s">
        <v>0</v>
      </c>
      <c r="U206" s="2">
        <v>0</v>
      </c>
      <c r="V206">
        <f>+V203</f>
        <v>0</v>
      </c>
      <c r="W206" s="8" t="s">
        <v>0</v>
      </c>
      <c r="Z206" s="2"/>
      <c r="AA206" s="2"/>
      <c r="AB206" s="2"/>
    </row>
    <row r="207" spans="20:28" ht="15">
      <c r="T207" s="8" t="s">
        <v>0</v>
      </c>
      <c r="U207" s="2">
        <v>0</v>
      </c>
      <c r="V207">
        <f>IF(V209=0,0,+V209+0.25)</f>
        <v>0</v>
      </c>
      <c r="W207" s="8" t="s">
        <v>0</v>
      </c>
      <c r="Z207" s="2"/>
      <c r="AA207" s="2"/>
      <c r="AB207" s="2"/>
    </row>
    <row r="208" spans="20:28" ht="15">
      <c r="T208" s="8" t="s">
        <v>0</v>
      </c>
      <c r="U208" s="2">
        <f>+U205</f>
        <v>0</v>
      </c>
      <c r="V208">
        <f>+V209</f>
        <v>0</v>
      </c>
      <c r="W208" s="8" t="s">
        <v>0</v>
      </c>
      <c r="Z208" s="2"/>
      <c r="AA208" s="2"/>
      <c r="AB208" s="2"/>
    </row>
    <row r="209" spans="20:28" ht="15">
      <c r="T209" s="8" t="s">
        <v>0</v>
      </c>
      <c r="U209">
        <f>IF(V209=0,0,+$L$14)</f>
        <v>0</v>
      </c>
      <c r="V209" s="19">
        <f>-B41</f>
        <v>0</v>
      </c>
      <c r="W209" s="8" t="s">
        <v>0</v>
      </c>
      <c r="Z209" s="2"/>
      <c r="AA209" s="2"/>
      <c r="AB209" s="2"/>
    </row>
    <row r="210" spans="20:28" ht="15">
      <c r="T210" s="8" t="s">
        <v>0</v>
      </c>
      <c r="W210" s="8" t="s">
        <v>0</v>
      </c>
      <c r="Z210" s="2"/>
      <c r="AA210" s="2"/>
      <c r="AB210" s="2"/>
    </row>
    <row r="211" spans="20:28" ht="15">
      <c r="T211" s="8" t="s">
        <v>0</v>
      </c>
      <c r="U211">
        <f>IF(V218=0,0,+$L$15)</f>
        <v>0</v>
      </c>
      <c r="V211" s="19">
        <f>IF(V218=0,0,-V24-0.25)</f>
        <v>0</v>
      </c>
      <c r="W211" s="8" t="s">
        <v>0</v>
      </c>
      <c r="Z211" s="2"/>
      <c r="AA211" s="2"/>
      <c r="AB211" s="2"/>
    </row>
    <row r="212" spans="20:28" ht="15">
      <c r="T212" s="8" t="s">
        <v>0</v>
      </c>
      <c r="U212" s="2">
        <f>IF(V218=0,0,1)</f>
        <v>0</v>
      </c>
      <c r="V212">
        <f>+V211</f>
        <v>0</v>
      </c>
      <c r="W212" s="8" t="s">
        <v>0</v>
      </c>
      <c r="Z212" s="2"/>
      <c r="AA212" s="2"/>
      <c r="AB212" s="2"/>
    </row>
    <row r="213" spans="20:28" ht="15">
      <c r="T213" s="8" t="s">
        <v>0</v>
      </c>
      <c r="U213">
        <f>IF(V218=0,0,0.5)</f>
        <v>0</v>
      </c>
      <c r="V213">
        <f>IF(V218=0,0,+V212+0.25)</f>
        <v>0</v>
      </c>
      <c r="W213" s="8" t="s">
        <v>0</v>
      </c>
      <c r="Z213" s="2"/>
      <c r="AA213" s="2"/>
      <c r="AB213" s="2"/>
    </row>
    <row r="214" spans="20:28" ht="15">
      <c r="T214" s="8" t="s">
        <v>0</v>
      </c>
      <c r="U214" s="2">
        <f>IF(V218=0,0,0.25)</f>
        <v>0</v>
      </c>
      <c r="V214">
        <f>+V213</f>
        <v>0</v>
      </c>
      <c r="W214" s="8" t="s">
        <v>0</v>
      </c>
      <c r="Z214" s="2"/>
      <c r="AA214" s="2"/>
      <c r="AB214" s="2"/>
    </row>
    <row r="215" spans="20:28" ht="15">
      <c r="T215" s="8" t="s">
        <v>0</v>
      </c>
      <c r="U215" s="2">
        <v>0</v>
      </c>
      <c r="V215">
        <f>+V212</f>
        <v>0</v>
      </c>
      <c r="W215" s="8" t="s">
        <v>0</v>
      </c>
      <c r="Z215" s="2"/>
      <c r="AA215" s="2"/>
      <c r="AB215" s="2"/>
    </row>
    <row r="216" spans="20:28" ht="15">
      <c r="T216" s="8" t="s">
        <v>0</v>
      </c>
      <c r="U216" s="2">
        <v>0</v>
      </c>
      <c r="V216">
        <f>IF(V218=0,0,+V218+0.25)</f>
        <v>0</v>
      </c>
      <c r="W216" s="8" t="s">
        <v>0</v>
      </c>
      <c r="Z216" s="2"/>
      <c r="AA216" s="2"/>
      <c r="AB216" s="2"/>
    </row>
    <row r="217" spans="20:28" ht="15">
      <c r="T217" s="8" t="s">
        <v>0</v>
      </c>
      <c r="U217" s="2">
        <f>+U214</f>
        <v>0</v>
      </c>
      <c r="V217">
        <f>+V218</f>
        <v>0</v>
      </c>
      <c r="W217" s="8" t="s">
        <v>0</v>
      </c>
      <c r="Z217" s="2"/>
      <c r="AA217" s="2"/>
      <c r="AB217" s="2"/>
    </row>
    <row r="218" spans="20:28" ht="15">
      <c r="T218" s="8" t="s">
        <v>0</v>
      </c>
      <c r="U218">
        <f>IF(V218=0,0,+$L$14)</f>
        <v>0</v>
      </c>
      <c r="V218" s="19">
        <f>-B42</f>
        <v>0</v>
      </c>
      <c r="W218" s="8" t="s">
        <v>0</v>
      </c>
      <c r="Z218" s="2"/>
      <c r="AA218" s="2"/>
      <c r="AB218" s="2"/>
    </row>
    <row r="219" spans="20:28" ht="15">
      <c r="T219" s="8" t="s">
        <v>0</v>
      </c>
      <c r="W219" s="8" t="s">
        <v>0</v>
      </c>
      <c r="Z219" s="2"/>
      <c r="AA219" s="2"/>
      <c r="AB219" s="2"/>
    </row>
    <row r="220" spans="20:28" ht="15">
      <c r="T220" s="8" t="s">
        <v>0</v>
      </c>
      <c r="U220">
        <f>IF(V227=0,0,+$L$15)</f>
        <v>0</v>
      </c>
      <c r="V220" s="19">
        <f>IF(V227=0,0,-V24-0.25)</f>
        <v>0</v>
      </c>
      <c r="W220" s="8" t="s">
        <v>0</v>
      </c>
      <c r="Z220" s="2"/>
      <c r="AA220" s="2"/>
      <c r="AB220" s="2"/>
    </row>
    <row r="221" spans="20:28" ht="15">
      <c r="T221" s="8" t="s">
        <v>0</v>
      </c>
      <c r="U221" s="2">
        <f>IF(V227=0,0,1)</f>
        <v>0</v>
      </c>
      <c r="V221">
        <f>+V220</f>
        <v>0</v>
      </c>
      <c r="W221" s="8" t="s">
        <v>0</v>
      </c>
      <c r="Z221" s="2"/>
      <c r="AA221" s="2"/>
      <c r="AB221" s="2"/>
    </row>
    <row r="222" spans="20:28" ht="15">
      <c r="T222" s="8" t="s">
        <v>0</v>
      </c>
      <c r="U222">
        <f>IF(V227=0,0,0.5)</f>
        <v>0</v>
      </c>
      <c r="V222">
        <f>IF(V227=0,0,+V221+0.25)</f>
        <v>0</v>
      </c>
      <c r="W222" s="8" t="s">
        <v>0</v>
      </c>
      <c r="Z222" s="2"/>
      <c r="AA222" s="2"/>
      <c r="AB222" s="2"/>
    </row>
    <row r="223" spans="20:28" ht="15">
      <c r="T223" s="8" t="s">
        <v>0</v>
      </c>
      <c r="U223" s="2">
        <f>IF(V227=0,0,0.25)</f>
        <v>0</v>
      </c>
      <c r="V223">
        <f>+V222</f>
        <v>0</v>
      </c>
      <c r="W223" s="8" t="s">
        <v>0</v>
      </c>
      <c r="Z223" s="2"/>
      <c r="AA223" s="2"/>
      <c r="AB223" s="2"/>
    </row>
    <row r="224" spans="20:28" ht="15">
      <c r="T224" s="8" t="s">
        <v>0</v>
      </c>
      <c r="U224" s="2">
        <v>0</v>
      </c>
      <c r="V224">
        <f>+V221</f>
        <v>0</v>
      </c>
      <c r="W224" s="8" t="s">
        <v>0</v>
      </c>
      <c r="Z224" s="2"/>
      <c r="AA224" s="2"/>
      <c r="AB224" s="2"/>
    </row>
    <row r="225" spans="20:28" ht="15">
      <c r="T225" s="8" t="s">
        <v>0</v>
      </c>
      <c r="U225" s="2">
        <v>0</v>
      </c>
      <c r="V225">
        <f>IF(V227=0,0,+V227+0.25)</f>
        <v>0</v>
      </c>
      <c r="W225" s="8" t="s">
        <v>0</v>
      </c>
      <c r="Z225" s="2"/>
      <c r="AA225" s="2"/>
      <c r="AB225" s="2"/>
    </row>
    <row r="226" spans="20:28" ht="15">
      <c r="T226" s="8" t="s">
        <v>0</v>
      </c>
      <c r="U226" s="2">
        <f>+U223</f>
        <v>0</v>
      </c>
      <c r="V226">
        <f>+V227</f>
        <v>0</v>
      </c>
      <c r="W226" s="8" t="s">
        <v>0</v>
      </c>
      <c r="Z226" s="2"/>
      <c r="AA226" s="2"/>
      <c r="AB226" s="2"/>
    </row>
    <row r="227" spans="20:28" ht="15">
      <c r="T227" s="8" t="s">
        <v>0</v>
      </c>
      <c r="U227">
        <f>IF(V227=0,0,+$L$14)</f>
        <v>0</v>
      </c>
      <c r="V227" s="19">
        <f>-B43</f>
        <v>0</v>
      </c>
      <c r="W227" s="8" t="s">
        <v>0</v>
      </c>
      <c r="Z227" s="2"/>
      <c r="AA227" s="2"/>
      <c r="AB227" s="2"/>
    </row>
    <row r="228" spans="20:28" ht="15">
      <c r="T228" s="8" t="s">
        <v>0</v>
      </c>
      <c r="W228" s="8" t="s">
        <v>0</v>
      </c>
      <c r="Z228" s="2"/>
      <c r="AA228" s="2"/>
      <c r="AB228" s="2"/>
    </row>
    <row r="229" spans="20:28" ht="15">
      <c r="T229" s="8" t="s">
        <v>0</v>
      </c>
      <c r="U229" s="2">
        <f aca="true" t="shared" si="30" ref="U229:U249">IF(-V228+0.1&gt;WALL_HT,U228,D23*4)</f>
        <v>-2.3984373179309895E-13</v>
      </c>
      <c r="V229" s="2">
        <v>-0.25</v>
      </c>
      <c r="W229" s="8" t="s">
        <v>0</v>
      </c>
      <c r="Z229" s="2"/>
      <c r="AA229" s="2"/>
      <c r="AB229" s="2"/>
    </row>
    <row r="230" spans="20:28" ht="15">
      <c r="T230" s="8" t="s">
        <v>0</v>
      </c>
      <c r="U230" s="2">
        <f t="shared" si="30"/>
        <v>0.2398437317928591</v>
      </c>
      <c r="V230" s="2">
        <f aca="true" t="shared" si="31" ref="V230:V249">IF(-V229+0.1&gt;WALL_HT,V229,-B24)</f>
        <v>-0.999999999999</v>
      </c>
      <c r="W230" s="8" t="s">
        <v>0</v>
      </c>
      <c r="X230" s="2"/>
      <c r="Z230" s="2"/>
      <c r="AA230" s="2"/>
      <c r="AB230" s="2"/>
    </row>
    <row r="231" spans="20:28" ht="15">
      <c r="T231" s="8" t="s">
        <v>0</v>
      </c>
      <c r="U231" s="2">
        <f t="shared" si="30"/>
        <v>0.4796874635859581</v>
      </c>
      <c r="V231" s="2">
        <f t="shared" si="31"/>
        <v>-1.999999999999</v>
      </c>
      <c r="W231" s="8" t="s">
        <v>0</v>
      </c>
      <c r="Z231" s="2"/>
      <c r="AA231" s="2"/>
      <c r="AB231" s="2"/>
    </row>
    <row r="232" spans="20:28" ht="15">
      <c r="T232" s="8" t="s">
        <v>0</v>
      </c>
      <c r="U232" s="2">
        <f t="shared" si="30"/>
        <v>0.719531195379057</v>
      </c>
      <c r="V232" s="2">
        <f t="shared" si="31"/>
        <v>-2.999999999999</v>
      </c>
      <c r="W232" s="8" t="s">
        <v>0</v>
      </c>
      <c r="Z232" s="2"/>
      <c r="AA232" s="2"/>
      <c r="AB232" s="2"/>
    </row>
    <row r="233" spans="20:28" ht="15">
      <c r="T233" s="8" t="s">
        <v>0</v>
      </c>
      <c r="U233" s="2">
        <f t="shared" si="30"/>
        <v>0.9593749271721559</v>
      </c>
      <c r="V233" s="2">
        <f t="shared" si="31"/>
        <v>-3.999999999999</v>
      </c>
      <c r="W233" s="8" t="s">
        <v>0</v>
      </c>
      <c r="Z233" s="2"/>
      <c r="AA233" s="2"/>
      <c r="AB233" s="2"/>
    </row>
    <row r="234" spans="20:28" ht="15">
      <c r="T234" s="8" t="s">
        <v>0</v>
      </c>
      <c r="U234" s="2">
        <f t="shared" si="30"/>
        <v>1.199218658965255</v>
      </c>
      <c r="V234" s="2">
        <f t="shared" si="31"/>
        <v>-4.999999999999</v>
      </c>
      <c r="W234" s="8" t="s">
        <v>0</v>
      </c>
      <c r="Z234" s="2"/>
      <c r="AA234" s="2"/>
      <c r="AB234" s="2"/>
    </row>
    <row r="235" spans="20:28" ht="15">
      <c r="T235" s="8" t="s">
        <v>0</v>
      </c>
      <c r="U235" s="2">
        <f t="shared" si="30"/>
        <v>1.4135745985887223</v>
      </c>
      <c r="V235" s="2">
        <f t="shared" si="31"/>
        <v>-5.999999999999</v>
      </c>
      <c r="W235" s="8" t="s">
        <v>0</v>
      </c>
      <c r="Z235" s="2"/>
      <c r="AA235" s="2"/>
      <c r="AB235" s="2"/>
    </row>
    <row r="236" spans="20:28" ht="15">
      <c r="T236" s="8" t="s">
        <v>0</v>
      </c>
      <c r="U236" s="2">
        <f t="shared" si="30"/>
        <v>1.4135745985887223</v>
      </c>
      <c r="V236" s="2">
        <f t="shared" si="31"/>
        <v>-5.999999999999</v>
      </c>
      <c r="W236" s="8" t="s">
        <v>0</v>
      </c>
      <c r="Z236" s="2"/>
      <c r="AA236" s="2"/>
      <c r="AB236" s="2"/>
    </row>
    <row r="237" spans="20:28" ht="15">
      <c r="T237" s="8" t="s">
        <v>0</v>
      </c>
      <c r="U237" s="2">
        <f t="shared" si="30"/>
        <v>1.4135745985887223</v>
      </c>
      <c r="V237" s="2">
        <f t="shared" si="31"/>
        <v>-5.999999999999</v>
      </c>
      <c r="W237" s="8" t="s">
        <v>0</v>
      </c>
      <c r="Z237" s="2"/>
      <c r="AA237" s="2"/>
      <c r="AB237" s="2"/>
    </row>
    <row r="238" spans="20:28" ht="15">
      <c r="T238" s="8" t="s">
        <v>0</v>
      </c>
      <c r="U238" s="2">
        <f t="shared" si="30"/>
        <v>1.4135745985887223</v>
      </c>
      <c r="V238" s="2">
        <f t="shared" si="31"/>
        <v>-5.999999999999</v>
      </c>
      <c r="W238" s="8" t="s">
        <v>0</v>
      </c>
      <c r="Z238" s="2"/>
      <c r="AA238" s="2"/>
      <c r="AB238" s="2"/>
    </row>
    <row r="239" spans="20:28" ht="15">
      <c r="T239" s="8" t="s">
        <v>0</v>
      </c>
      <c r="U239" s="2">
        <f t="shared" si="30"/>
        <v>1.4135745985887223</v>
      </c>
      <c r="V239" s="2">
        <f t="shared" si="31"/>
        <v>-5.999999999999</v>
      </c>
      <c r="W239" s="8" t="s">
        <v>0</v>
      </c>
      <c r="Z239" s="2"/>
      <c r="AA239" s="2"/>
      <c r="AB239" s="2"/>
    </row>
    <row r="240" spans="20:28" ht="15">
      <c r="T240" s="8" t="s">
        <v>0</v>
      </c>
      <c r="U240" s="2">
        <f t="shared" si="30"/>
        <v>1.4135745985887223</v>
      </c>
      <c r="V240" s="2">
        <f t="shared" si="31"/>
        <v>-5.999999999999</v>
      </c>
      <c r="W240" s="8" t="s">
        <v>0</v>
      </c>
      <c r="X240" s="2"/>
      <c r="Z240" s="2"/>
      <c r="AA240" s="2"/>
      <c r="AB240" s="2"/>
    </row>
    <row r="241" spans="20:28" ht="15">
      <c r="T241" s="8" t="s">
        <v>0</v>
      </c>
      <c r="U241" s="2">
        <f t="shared" si="30"/>
        <v>1.4135745985887223</v>
      </c>
      <c r="V241" s="2">
        <f t="shared" si="31"/>
        <v>-5.999999999999</v>
      </c>
      <c r="W241" s="8" t="s">
        <v>0</v>
      </c>
      <c r="Z241" s="2"/>
      <c r="AA241" s="2"/>
      <c r="AB241" s="2"/>
    </row>
    <row r="242" spans="20:28" ht="15">
      <c r="T242" s="8" t="s">
        <v>0</v>
      </c>
      <c r="U242" s="2">
        <f t="shared" si="30"/>
        <v>1.4135745985887223</v>
      </c>
      <c r="V242" s="2">
        <f t="shared" si="31"/>
        <v>-5.999999999999</v>
      </c>
      <c r="W242" s="8" t="s">
        <v>0</v>
      </c>
      <c r="Z242" s="2"/>
      <c r="AA242" s="2"/>
      <c r="AB242" s="2"/>
    </row>
    <row r="243" spans="20:28" ht="15">
      <c r="T243" s="8" t="s">
        <v>0</v>
      </c>
      <c r="U243" s="2">
        <f t="shared" si="30"/>
        <v>1.4135745985887223</v>
      </c>
      <c r="V243" s="2">
        <f t="shared" si="31"/>
        <v>-5.999999999999</v>
      </c>
      <c r="W243" s="8" t="s">
        <v>0</v>
      </c>
      <c r="Z243" s="2"/>
      <c r="AA243" s="2"/>
      <c r="AB243" s="2"/>
    </row>
    <row r="244" spans="20:28" ht="15">
      <c r="T244" s="8" t="s">
        <v>0</v>
      </c>
      <c r="U244" s="2">
        <f t="shared" si="30"/>
        <v>1.4135745985887223</v>
      </c>
      <c r="V244" s="2">
        <f t="shared" si="31"/>
        <v>-5.999999999999</v>
      </c>
      <c r="W244" s="8" t="s">
        <v>0</v>
      </c>
      <c r="Z244" s="2"/>
      <c r="AA244" s="2"/>
      <c r="AB244" s="2"/>
    </row>
    <row r="245" spans="20:28" ht="15">
      <c r="T245" s="8" t="s">
        <v>0</v>
      </c>
      <c r="U245" s="2">
        <f t="shared" si="30"/>
        <v>1.4135745985887223</v>
      </c>
      <c r="V245" s="2">
        <f t="shared" si="31"/>
        <v>-5.999999999999</v>
      </c>
      <c r="W245" s="8" t="s">
        <v>0</v>
      </c>
      <c r="X245" s="2"/>
      <c r="Z245" s="2"/>
      <c r="AA245" s="2"/>
      <c r="AB245" s="2"/>
    </row>
    <row r="246" spans="20:28" ht="15">
      <c r="T246" s="8" t="s">
        <v>0</v>
      </c>
      <c r="U246" s="2">
        <f t="shared" si="30"/>
        <v>1.4135745985887223</v>
      </c>
      <c r="V246" s="2">
        <f t="shared" si="31"/>
        <v>-5.999999999999</v>
      </c>
      <c r="W246" s="8" t="s">
        <v>0</v>
      </c>
      <c r="Z246" s="2"/>
      <c r="AA246" s="2"/>
      <c r="AB246" s="2"/>
    </row>
    <row r="247" spans="20:28" ht="15">
      <c r="T247" s="8" t="s">
        <v>0</v>
      </c>
      <c r="U247" s="2">
        <f t="shared" si="30"/>
        <v>1.4135745985887223</v>
      </c>
      <c r="V247" s="2">
        <f t="shared" si="31"/>
        <v>-5.999999999999</v>
      </c>
      <c r="W247" s="8" t="s">
        <v>0</v>
      </c>
      <c r="Z247" s="2"/>
      <c r="AA247" s="2"/>
      <c r="AB247" s="2"/>
    </row>
    <row r="248" spans="20:28" ht="15">
      <c r="T248" s="8" t="s">
        <v>0</v>
      </c>
      <c r="U248" s="2">
        <f t="shared" si="30"/>
        <v>1.4135745985887223</v>
      </c>
      <c r="V248" s="2">
        <f t="shared" si="31"/>
        <v>-5.999999999999</v>
      </c>
      <c r="W248" s="8" t="s">
        <v>0</v>
      </c>
      <c r="Z248" s="2"/>
      <c r="AA248" s="2"/>
      <c r="AB248" s="2"/>
    </row>
    <row r="249" spans="20:28" ht="15">
      <c r="T249" s="8" t="s">
        <v>0</v>
      </c>
      <c r="U249" s="2">
        <f t="shared" si="30"/>
        <v>1.4135745985887223</v>
      </c>
      <c r="V249" s="2">
        <f t="shared" si="31"/>
        <v>-5.999999999999</v>
      </c>
      <c r="W249" s="8" t="s">
        <v>0</v>
      </c>
      <c r="Z249" s="2"/>
      <c r="AA249" s="2"/>
      <c r="AB249" s="2"/>
    </row>
    <row r="250" spans="20:28" ht="15">
      <c r="T250" s="8" t="s">
        <v>0</v>
      </c>
      <c r="U250" s="2"/>
      <c r="V250" s="2"/>
      <c r="W250" s="8" t="s">
        <v>0</v>
      </c>
      <c r="Z250" s="2"/>
      <c r="AA250" s="2"/>
      <c r="AB250" s="2"/>
    </row>
    <row r="251" spans="20:28" ht="15">
      <c r="T251" s="8" t="s">
        <v>0</v>
      </c>
      <c r="U251">
        <f>IF(MAX(U6:U31)&lt;1,0,VLOOKUP(1,$U$6:$AC$31,9))</f>
        <v>3.1902565899694046</v>
      </c>
      <c r="V251">
        <f>-VLOOKUP(1,$U$6:$AC$26,2)</f>
        <v>1E-12</v>
      </c>
      <c r="W251" s="8" t="s">
        <v>0</v>
      </c>
      <c r="Z251" s="2"/>
      <c r="AA251" s="2"/>
      <c r="AB251" s="2"/>
    </row>
    <row r="252" spans="20:28" ht="15">
      <c r="T252" s="8" t="s">
        <v>0</v>
      </c>
      <c r="U252">
        <f>U251</f>
        <v>3.1902565899694046</v>
      </c>
      <c r="V252">
        <f>VLOOKUP(1,$U$6:$AE$31,11)</f>
        <v>1.5947767455153652</v>
      </c>
      <c r="W252" s="8" t="s">
        <v>0</v>
      </c>
      <c r="Z252" s="2"/>
      <c r="AA252" s="2"/>
      <c r="AB252" s="2"/>
    </row>
    <row r="253" spans="20:28" ht="15">
      <c r="T253" s="8" t="s">
        <v>0</v>
      </c>
      <c r="U253">
        <f>U252+AI5*4</f>
        <v>3.472971509687177</v>
      </c>
      <c r="V253">
        <f>V252</f>
        <v>1.5947767455153652</v>
      </c>
      <c r="W253" s="8" t="s">
        <v>0</v>
      </c>
      <c r="Z253" s="2"/>
      <c r="AA253" s="2"/>
      <c r="AB253" s="2"/>
    </row>
    <row r="254" spans="20:28" ht="15">
      <c r="T254" s="8" t="s">
        <v>0</v>
      </c>
      <c r="U254">
        <f>U252+VLOOKUP(1,$U$6:$AK$31,15)*4</f>
        <v>3.755686429404809</v>
      </c>
      <c r="V254">
        <f>V251</f>
        <v>1E-12</v>
      </c>
      <c r="W254" s="8" t="s">
        <v>0</v>
      </c>
      <c r="Z254" s="2"/>
      <c r="AA254" s="2"/>
      <c r="AB254" s="2"/>
    </row>
    <row r="255" spans="20:28" ht="15">
      <c r="T255" s="8" t="s">
        <v>0</v>
      </c>
      <c r="U255">
        <f>+U251</f>
        <v>3.1902565899694046</v>
      </c>
      <c r="V255">
        <f>+V254</f>
        <v>1E-12</v>
      </c>
      <c r="W255" s="8" t="s">
        <v>0</v>
      </c>
      <c r="Z255" s="2"/>
      <c r="AA255" s="2"/>
      <c r="AB255" s="2"/>
    </row>
    <row r="256" spans="20:28" ht="15">
      <c r="T256" s="8" t="s">
        <v>0</v>
      </c>
      <c r="W256" s="8" t="s">
        <v>0</v>
      </c>
      <c r="Z256" s="2"/>
      <c r="AA256" s="2"/>
      <c r="AB256" s="2"/>
    </row>
    <row r="257" spans="20:28" ht="15">
      <c r="T257" s="8" t="s">
        <v>0</v>
      </c>
      <c r="U257">
        <f>IF(MAX(U6:U31)&lt;2,0,VLOOKUP(2,$U$6:$AC$31,9))</f>
        <v>2.658547158307926</v>
      </c>
      <c r="V257">
        <f>-VLOOKUP(2,$U$6:$AC$26,2)</f>
        <v>-0.999999999999</v>
      </c>
      <c r="W257" s="8" t="s">
        <v>0</v>
      </c>
      <c r="Z257" s="2"/>
      <c r="AA257" s="2"/>
      <c r="AB257" s="2"/>
    </row>
    <row r="258" spans="20:28" ht="15">
      <c r="T258" s="8" t="s">
        <v>0</v>
      </c>
      <c r="U258">
        <f>U257</f>
        <v>2.658547158307926</v>
      </c>
      <c r="V258">
        <f>IF(V257=0,0,V255)</f>
        <v>1E-12</v>
      </c>
      <c r="W258" s="8" t="s">
        <v>0</v>
      </c>
      <c r="Z258" s="2"/>
      <c r="AA258" s="2"/>
      <c r="AB258" s="2"/>
    </row>
    <row r="259" spans="20:28" ht="15">
      <c r="T259" s="8" t="s">
        <v>0</v>
      </c>
      <c r="U259">
        <f>IF(U260&gt;0.001,U258+U254-U252,0)</f>
        <v>3.22397699774333</v>
      </c>
      <c r="V259">
        <f>V258</f>
        <v>1E-12</v>
      </c>
      <c r="W259" s="8" t="s">
        <v>0</v>
      </c>
      <c r="Z259" s="2"/>
      <c r="AA259" s="2"/>
      <c r="AB259" s="2"/>
    </row>
    <row r="260" spans="20:28" ht="15">
      <c r="T260" s="8" t="s">
        <v>0</v>
      </c>
      <c r="U260">
        <f>U258+VLOOKUP(2,$U$6:$AK$31,15)*4</f>
        <v>3.3653344576022164</v>
      </c>
      <c r="V260">
        <f>V257</f>
        <v>-0.999999999999</v>
      </c>
      <c r="W260" s="8" t="s">
        <v>0</v>
      </c>
      <c r="Z260" s="2"/>
      <c r="AA260" s="2"/>
      <c r="AB260" s="2"/>
    </row>
    <row r="261" spans="20:28" ht="15">
      <c r="T261" s="8" t="s">
        <v>0</v>
      </c>
      <c r="U261" s="2"/>
      <c r="W261" s="8" t="s">
        <v>0</v>
      </c>
      <c r="Z261" s="2"/>
      <c r="AA261" s="2"/>
      <c r="AB261" s="2"/>
    </row>
    <row r="262" spans="20:28" ht="15">
      <c r="T262" s="8" t="s">
        <v>0</v>
      </c>
      <c r="U262">
        <f>IF(MAX(U6:U31)&lt;3,0,VLOOKUP(3,$U$6:$AC$31,9))</f>
        <v>2.126837726646447</v>
      </c>
      <c r="V262">
        <f>-VLOOKUP(3,$U$6:$AC$26,2)</f>
        <v>-1.999999999999</v>
      </c>
      <c r="W262" s="8" t="s">
        <v>0</v>
      </c>
      <c r="Z262" s="2"/>
      <c r="AA262" s="2"/>
      <c r="AB262" s="2"/>
    </row>
    <row r="263" spans="20:28" ht="15">
      <c r="T263" s="8" t="s">
        <v>0</v>
      </c>
      <c r="U263">
        <f>U262</f>
        <v>2.126837726646447</v>
      </c>
      <c r="V263">
        <f>IF(V262=0,0,V260)</f>
        <v>-0.999999999999</v>
      </c>
      <c r="W263" s="8" t="s">
        <v>0</v>
      </c>
      <c r="Z263" s="2"/>
      <c r="AA263" s="2"/>
      <c r="AB263" s="2"/>
    </row>
    <row r="264" spans="20:28" ht="15">
      <c r="T264" s="8" t="s">
        <v>0</v>
      </c>
      <c r="U264">
        <f>IF(U265&gt;0.001,U263+U260-U258,0)</f>
        <v>2.8336250259407376</v>
      </c>
      <c r="V264">
        <f>V263</f>
        <v>-0.999999999999</v>
      </c>
      <c r="W264" s="8" t="s">
        <v>0</v>
      </c>
      <c r="X264" s="2"/>
      <c r="Z264" s="2"/>
      <c r="AA264" s="2"/>
      <c r="AB264" s="2"/>
    </row>
    <row r="265" spans="20:28" ht="15">
      <c r="T265" s="8" t="s">
        <v>0</v>
      </c>
      <c r="U265">
        <f>U263+VLOOKUP(3,$U$6:$AK$31,15)*4</f>
        <v>2.974982485799624</v>
      </c>
      <c r="V265">
        <f>V262</f>
        <v>-1.999999999999</v>
      </c>
      <c r="W265" s="8" t="s">
        <v>0</v>
      </c>
      <c r="Z265" s="2"/>
      <c r="AA265" s="2"/>
      <c r="AB265" s="2"/>
    </row>
    <row r="266" spans="20:28" ht="15">
      <c r="T266" s="8" t="s">
        <v>0</v>
      </c>
      <c r="W266" s="8" t="s">
        <v>0</v>
      </c>
      <c r="Z266" s="2"/>
      <c r="AA266" s="2"/>
      <c r="AB266" s="2"/>
    </row>
    <row r="267" spans="20:28" ht="15">
      <c r="T267" s="8" t="s">
        <v>0</v>
      </c>
      <c r="U267">
        <f>IF(MAX(U6:U31)&lt;4,0,VLOOKUP(4,$U$6:$AC$31,9))</f>
        <v>1.595128294984968</v>
      </c>
      <c r="V267">
        <f>-VLOOKUP(4,$U$6:$AC$26,2)</f>
        <v>-2.999999999999</v>
      </c>
      <c r="W267" s="8" t="s">
        <v>0</v>
      </c>
      <c r="Z267" s="2"/>
      <c r="AA267" s="2"/>
      <c r="AB267" s="2"/>
    </row>
    <row r="268" spans="20:28" ht="15">
      <c r="T268" s="8" t="s">
        <v>0</v>
      </c>
      <c r="U268">
        <f>U267</f>
        <v>1.595128294984968</v>
      </c>
      <c r="V268">
        <f>IF(V267=0,0,V265)</f>
        <v>-1.999999999999</v>
      </c>
      <c r="W268" s="8" t="s">
        <v>0</v>
      </c>
      <c r="Z268" s="2"/>
      <c r="AA268" s="2"/>
      <c r="AB268" s="2"/>
    </row>
    <row r="269" spans="20:28" ht="15">
      <c r="T269" s="8" t="s">
        <v>0</v>
      </c>
      <c r="U269">
        <f>IF(U270&gt;0.001,U268+U265-U263,0)</f>
        <v>2.443273054138145</v>
      </c>
      <c r="V269">
        <f>V268</f>
        <v>-1.999999999999</v>
      </c>
      <c r="W269" s="8" t="s">
        <v>0</v>
      </c>
      <c r="Z269" s="2"/>
      <c r="AA269" s="2"/>
      <c r="AB269" s="2"/>
    </row>
    <row r="270" spans="20:28" ht="15">
      <c r="T270" s="8" t="s">
        <v>0</v>
      </c>
      <c r="U270">
        <f>U268+VLOOKUP(4,$U$6:$AK$31,15)*4</f>
        <v>2.5846305139970314</v>
      </c>
      <c r="V270">
        <f>V267</f>
        <v>-2.999999999999</v>
      </c>
      <c r="W270" s="8" t="s">
        <v>0</v>
      </c>
      <c r="Z270" s="2"/>
      <c r="AA270" s="2"/>
      <c r="AB270" s="2"/>
    </row>
    <row r="271" spans="20:28" ht="15">
      <c r="T271" s="8" t="s">
        <v>0</v>
      </c>
      <c r="U271" s="2"/>
      <c r="W271" s="8" t="s">
        <v>0</v>
      </c>
      <c r="Z271" s="2"/>
      <c r="AA271" s="2"/>
      <c r="AB271" s="2"/>
    </row>
    <row r="272" spans="20:28" ht="15">
      <c r="T272" s="8" t="s">
        <v>0</v>
      </c>
      <c r="U272">
        <f>IF(MAX(U6:U31)&lt;5,0,VLOOKUP(5,$U$6:$AC$31,9))</f>
        <v>1.0634188633234893</v>
      </c>
      <c r="V272">
        <f>-VLOOKUP(5,$U$6:$AC$26,2)</f>
        <v>-3.999999999999</v>
      </c>
      <c r="W272" s="8" t="s">
        <v>0</v>
      </c>
      <c r="Z272" s="2"/>
      <c r="AA272" s="2"/>
      <c r="AB272" s="2"/>
    </row>
    <row r="273" spans="20:28" ht="15">
      <c r="T273" s="8" t="s">
        <v>0</v>
      </c>
      <c r="U273">
        <f>U272</f>
        <v>1.0634188633234893</v>
      </c>
      <c r="V273">
        <f>V270</f>
        <v>-2.999999999999</v>
      </c>
      <c r="W273" s="8" t="s">
        <v>0</v>
      </c>
      <c r="Z273" s="2"/>
      <c r="AA273" s="2"/>
      <c r="AB273" s="2"/>
    </row>
    <row r="274" spans="20:28" ht="15">
      <c r="T274" s="8" t="s">
        <v>0</v>
      </c>
      <c r="U274">
        <f>IF(U275&gt;0.001,U273+U270-U268,0)</f>
        <v>2.052921082335553</v>
      </c>
      <c r="V274">
        <f>V273</f>
        <v>-2.999999999999</v>
      </c>
      <c r="W274" s="8" t="s">
        <v>0</v>
      </c>
      <c r="X274" s="2"/>
      <c r="Z274" s="2"/>
      <c r="AA274" s="2"/>
      <c r="AB274" s="2"/>
    </row>
    <row r="275" spans="20:28" ht="15">
      <c r="T275" s="8" t="s">
        <v>0</v>
      </c>
      <c r="U275">
        <f>U273+VLOOKUP(5,$U$6:$AK$31,15)*4</f>
        <v>2.194278542194439</v>
      </c>
      <c r="V275">
        <f>V272</f>
        <v>-3.999999999999</v>
      </c>
      <c r="W275" s="8" t="s">
        <v>0</v>
      </c>
      <c r="Z275" s="2"/>
      <c r="AA275" s="2"/>
      <c r="AB275" s="2"/>
    </row>
    <row r="276" spans="20:28" ht="15">
      <c r="T276" s="8" t="s">
        <v>0</v>
      </c>
      <c r="U276" s="2"/>
      <c r="W276" s="8" t="s">
        <v>0</v>
      </c>
      <c r="Z276" s="2"/>
      <c r="AA276" s="2"/>
      <c r="AB276" s="2"/>
    </row>
    <row r="277" spans="20:28" ht="15">
      <c r="T277" s="8" t="s">
        <v>0</v>
      </c>
      <c r="U277">
        <f>IF(MAX(U6:U31)&lt;6,0,VLOOKUP(6,$U$6:$AC$31,9))</f>
        <v>0.5317094316620106</v>
      </c>
      <c r="V277">
        <f>-VLOOKUP(6,$U$6:$AC$26,2)</f>
        <v>-4.999999999999</v>
      </c>
      <c r="W277" s="8" t="s">
        <v>0</v>
      </c>
      <c r="Z277" s="2"/>
      <c r="AA277" s="2"/>
      <c r="AB277" s="2"/>
    </row>
    <row r="278" spans="20:28" ht="15">
      <c r="T278" s="8" t="s">
        <v>0</v>
      </c>
      <c r="U278">
        <f>U277</f>
        <v>0.5317094316620106</v>
      </c>
      <c r="V278">
        <f>IF(V277=0,0,V275)</f>
        <v>-3.999999999999</v>
      </c>
      <c r="W278" s="8" t="s">
        <v>0</v>
      </c>
      <c r="Z278" s="2"/>
      <c r="AA278" s="2"/>
      <c r="AB278" s="2"/>
    </row>
    <row r="279" spans="20:28" ht="15">
      <c r="T279" s="8" t="s">
        <v>0</v>
      </c>
      <c r="U279">
        <f>IF(U280&gt;0.001,U278+U275-U273,0)</f>
        <v>1.6625691105329603</v>
      </c>
      <c r="V279">
        <f>V278</f>
        <v>-3.999999999999</v>
      </c>
      <c r="W279" s="8" t="s">
        <v>0</v>
      </c>
      <c r="X279" s="2"/>
      <c r="Z279" s="2"/>
      <c r="AA279" s="2"/>
      <c r="AB279" s="2"/>
    </row>
    <row r="280" spans="20:28" ht="15">
      <c r="T280" s="8" t="s">
        <v>0</v>
      </c>
      <c r="U280">
        <f>U278+VLOOKUP(6,$U$6:$AK$31,15)*4</f>
        <v>1.8039265703918466</v>
      </c>
      <c r="V280">
        <f>V277</f>
        <v>-4.999999999999</v>
      </c>
      <c r="W280" s="8" t="s">
        <v>0</v>
      </c>
      <c r="Z280" s="2"/>
      <c r="AA280" s="2"/>
      <c r="AB280" s="2"/>
    </row>
    <row r="281" spans="20:28" ht="15">
      <c r="T281" s="8" t="s">
        <v>0</v>
      </c>
      <c r="U281" s="2"/>
      <c r="W281" s="8" t="s">
        <v>0</v>
      </c>
      <c r="Z281" s="2"/>
      <c r="AA281" s="2"/>
      <c r="AB281" s="2"/>
    </row>
    <row r="282" spans="20:28" ht="15">
      <c r="T282" s="8" t="s">
        <v>0</v>
      </c>
      <c r="U282">
        <f>IF(MAX(U6:U31)&lt;7,0,VLOOKUP(7,$U$6:$AC$31,9))</f>
        <v>5.317567009395897E-13</v>
      </c>
      <c r="V282">
        <f>-VLOOKUP(7,$U$6:$AC$31,2)</f>
        <v>-5.999999999999</v>
      </c>
      <c r="W282" s="8" t="s">
        <v>0</v>
      </c>
      <c r="Z282" s="2"/>
      <c r="AA282" s="2"/>
      <c r="AB282" s="2"/>
    </row>
    <row r="283" spans="20:28" ht="15">
      <c r="T283" s="8" t="s">
        <v>0</v>
      </c>
      <c r="U283">
        <f>U282</f>
        <v>5.317567009395897E-13</v>
      </c>
      <c r="V283">
        <f>IF(V282=0,0,V280)</f>
        <v>-4.999999999999</v>
      </c>
      <c r="W283" s="8" t="s">
        <v>0</v>
      </c>
      <c r="Z283" s="2"/>
      <c r="AA283" s="2"/>
      <c r="AB283" s="2"/>
    </row>
    <row r="284" spans="20:28" ht="15">
      <c r="T284" s="8" t="s">
        <v>0</v>
      </c>
      <c r="U284">
        <f>IF(U285&gt;0.001,U283+U280-U278,0)</f>
        <v>1.2722171387303678</v>
      </c>
      <c r="V284">
        <f>V283</f>
        <v>-4.999999999999</v>
      </c>
      <c r="W284" s="8" t="s">
        <v>0</v>
      </c>
      <c r="X284" s="2"/>
      <c r="Z284" s="2"/>
      <c r="AA284" s="2"/>
      <c r="AB284" s="2"/>
    </row>
    <row r="285" spans="20:28" ht="15">
      <c r="T285" s="8" t="s">
        <v>0</v>
      </c>
      <c r="U285">
        <f>U283+VLOOKUP(7,$U$6:$AK$31,15)*4</f>
        <v>1.413574598589254</v>
      </c>
      <c r="V285">
        <f>V282</f>
        <v>-5.999999999999</v>
      </c>
      <c r="W285" s="8" t="s">
        <v>0</v>
      </c>
      <c r="Z285" s="2"/>
      <c r="AA285" s="2"/>
      <c r="AB285" s="2"/>
    </row>
    <row r="286" spans="20:28" ht="15">
      <c r="T286" s="8" t="s">
        <v>0</v>
      </c>
      <c r="W286" s="8" t="s">
        <v>0</v>
      </c>
      <c r="Z286" s="2"/>
      <c r="AA286" s="2"/>
      <c r="AB286" s="2"/>
    </row>
    <row r="287" spans="20:28" ht="15">
      <c r="T287" s="8" t="s">
        <v>0</v>
      </c>
      <c r="U287">
        <f>IF(MAX(U6:U31)&lt;8,0,VLOOKUP(8,$U$6:$AC$31,9))</f>
        <v>0</v>
      </c>
      <c r="V287">
        <f>-VLOOKUP(8,$U$6:$AC$31,2)</f>
        <v>0</v>
      </c>
      <c r="W287" s="8" t="s">
        <v>0</v>
      </c>
      <c r="Z287" s="2"/>
      <c r="AA287" s="2"/>
      <c r="AB287" s="2"/>
    </row>
    <row r="288" spans="20:28" ht="15">
      <c r="T288" s="8" t="s">
        <v>0</v>
      </c>
      <c r="U288">
        <f>U287</f>
        <v>0</v>
      </c>
      <c r="V288">
        <f>IF(V287=0,0,V285)</f>
        <v>0</v>
      </c>
      <c r="W288" s="8" t="s">
        <v>0</v>
      </c>
      <c r="Z288" s="2"/>
      <c r="AA288" s="2"/>
      <c r="AB288" s="2"/>
    </row>
    <row r="289" spans="20:28" ht="15">
      <c r="T289" s="8" t="s">
        <v>0</v>
      </c>
      <c r="U289">
        <f>IF(U290&gt;0.001,U288+U285-U283,0)</f>
        <v>0</v>
      </c>
      <c r="V289">
        <f>V288</f>
        <v>0</v>
      </c>
      <c r="W289" s="8" t="s">
        <v>0</v>
      </c>
      <c r="X289" s="2"/>
      <c r="Z289" s="2"/>
      <c r="AA289" s="2"/>
      <c r="AB289" s="2"/>
    </row>
    <row r="290" spans="20:28" ht="15">
      <c r="T290" s="8" t="s">
        <v>0</v>
      </c>
      <c r="U290">
        <f>U288+VLOOKUP(8,$U$6:$AK$31,15)*4</f>
        <v>0</v>
      </c>
      <c r="V290">
        <f>V287</f>
        <v>0</v>
      </c>
      <c r="W290" s="8" t="s">
        <v>0</v>
      </c>
      <c r="Z290" s="2"/>
      <c r="AA290" s="2"/>
      <c r="AB290" s="2"/>
    </row>
    <row r="291" spans="20:28" ht="15">
      <c r="T291" s="8" t="s">
        <v>0</v>
      </c>
      <c r="U291" s="2"/>
      <c r="W291" s="8" t="s">
        <v>0</v>
      </c>
      <c r="Z291" s="2"/>
      <c r="AA291" s="2"/>
      <c r="AB291" s="2"/>
    </row>
    <row r="292" spans="20:28" ht="15">
      <c r="T292" s="8" t="s">
        <v>0</v>
      </c>
      <c r="U292">
        <f>IF(MAX(U6:U31)&lt;9,0,VLOOKUP(9,$U$6:$AC$31,9))</f>
        <v>0</v>
      </c>
      <c r="V292">
        <f>-VLOOKUP(9,$U$6:$AC$31,2)</f>
        <v>0</v>
      </c>
      <c r="W292" s="8" t="s">
        <v>0</v>
      </c>
      <c r="Z292" s="2"/>
      <c r="AA292" s="2"/>
      <c r="AB292" s="2"/>
    </row>
    <row r="293" spans="20:28" ht="15">
      <c r="T293" s="8" t="s">
        <v>0</v>
      </c>
      <c r="U293">
        <f>U292</f>
        <v>0</v>
      </c>
      <c r="V293">
        <f>IF(V292=0,0,V290)</f>
        <v>0</v>
      </c>
      <c r="W293" s="8" t="s">
        <v>0</v>
      </c>
      <c r="Z293" s="2"/>
      <c r="AA293" s="2"/>
      <c r="AB293" s="2"/>
    </row>
    <row r="294" spans="20:28" ht="15">
      <c r="T294" s="8" t="s">
        <v>0</v>
      </c>
      <c r="U294">
        <f>IF(U295&gt;0.001,U293+U290-U288,0)</f>
        <v>0</v>
      </c>
      <c r="V294">
        <f>V293</f>
        <v>0</v>
      </c>
      <c r="W294" s="8" t="s">
        <v>0</v>
      </c>
      <c r="X294" s="2"/>
      <c r="Z294" s="2"/>
      <c r="AA294" s="2"/>
      <c r="AB294" s="2"/>
    </row>
    <row r="295" spans="20:28" ht="15">
      <c r="T295" s="8" t="s">
        <v>0</v>
      </c>
      <c r="U295">
        <f>U293+VLOOKUP(9,$U$6:$AK$31,15)*4</f>
        <v>0</v>
      </c>
      <c r="V295">
        <f>V292</f>
        <v>0</v>
      </c>
      <c r="W295" s="8" t="s">
        <v>0</v>
      </c>
      <c r="Z295" s="2"/>
      <c r="AA295" s="2"/>
      <c r="AB295" s="2"/>
    </row>
    <row r="296" spans="20:28" ht="15">
      <c r="T296" s="8" t="s">
        <v>0</v>
      </c>
      <c r="U296" s="2"/>
      <c r="W296" s="8" t="s">
        <v>0</v>
      </c>
      <c r="Z296" s="2"/>
      <c r="AA296" s="2"/>
      <c r="AB296" s="2"/>
    </row>
    <row r="297" spans="20:28" ht="15">
      <c r="T297" s="8" t="s">
        <v>0</v>
      </c>
      <c r="U297">
        <f>IF(MAX(U6:U31)&lt;10,0,VLOOKUP(10,$U$6:$AC$31,9))</f>
        <v>0</v>
      </c>
      <c r="V297">
        <f>-VLOOKUP(10,$U$6:$AC$31,2)</f>
        <v>0</v>
      </c>
      <c r="W297" s="8" t="s">
        <v>0</v>
      </c>
      <c r="Z297" s="2"/>
      <c r="AA297" s="2"/>
      <c r="AB297" s="2"/>
    </row>
    <row r="298" spans="20:28" ht="15">
      <c r="T298" s="8" t="s">
        <v>0</v>
      </c>
      <c r="U298">
        <f>U297</f>
        <v>0</v>
      </c>
      <c r="V298">
        <f>IF(V297=0,0,V295)</f>
        <v>0</v>
      </c>
      <c r="W298" s="8" t="s">
        <v>0</v>
      </c>
      <c r="Z298" s="2"/>
      <c r="AA298" s="2"/>
      <c r="AB298" s="2"/>
    </row>
    <row r="299" spans="20:28" ht="15">
      <c r="T299" s="8" t="s">
        <v>0</v>
      </c>
      <c r="U299">
        <f>IF(U300&gt;0.001,U298+U295-U293,0)</f>
        <v>0</v>
      </c>
      <c r="V299">
        <f>V298</f>
        <v>0</v>
      </c>
      <c r="W299" s="8" t="s">
        <v>0</v>
      </c>
      <c r="X299" s="2"/>
      <c r="Z299" s="2"/>
      <c r="AA299" s="2"/>
      <c r="AB299" s="2"/>
    </row>
    <row r="300" spans="20:28" ht="15">
      <c r="T300" s="8" t="s">
        <v>0</v>
      </c>
      <c r="U300">
        <f>U298+VLOOKUP(10,$U$6:$AK$31,15)*4</f>
        <v>0</v>
      </c>
      <c r="V300">
        <f>V297</f>
        <v>0</v>
      </c>
      <c r="W300" s="8" t="s">
        <v>0</v>
      </c>
      <c r="Z300" s="2"/>
      <c r="AA300" s="2"/>
      <c r="AB300" s="2"/>
    </row>
    <row r="301" spans="20:28" ht="15">
      <c r="T301" s="8" t="s">
        <v>0</v>
      </c>
      <c r="U301" s="2"/>
      <c r="W301" s="8" t="s">
        <v>0</v>
      </c>
      <c r="Z301" s="2"/>
      <c r="AA301" s="2"/>
      <c r="AB301" s="2"/>
    </row>
    <row r="302" spans="20:28" ht="15">
      <c r="T302" s="8" t="s">
        <v>0</v>
      </c>
      <c r="U302">
        <f>IF(MAX(U6:U31)&lt;11,0,VLOOKUP(11,$U$6:$AC$31,9))</f>
        <v>0</v>
      </c>
      <c r="V302">
        <f>-VLOOKUP(11,$U$6:$AC$31,2)</f>
        <v>0</v>
      </c>
      <c r="W302" s="8" t="s">
        <v>0</v>
      </c>
      <c r="Z302" s="2"/>
      <c r="AA302" s="2"/>
      <c r="AB302" s="2"/>
    </row>
    <row r="303" spans="20:28" ht="15">
      <c r="T303" s="8" t="s">
        <v>0</v>
      </c>
      <c r="U303">
        <f>U302</f>
        <v>0</v>
      </c>
      <c r="V303">
        <f>IF(V302=0,0,V300)</f>
        <v>0</v>
      </c>
      <c r="W303" s="8" t="s">
        <v>0</v>
      </c>
      <c r="Z303" s="2"/>
      <c r="AA303" s="2"/>
      <c r="AB303" s="2"/>
    </row>
    <row r="304" spans="20:28" ht="15">
      <c r="T304" s="8" t="s">
        <v>0</v>
      </c>
      <c r="U304">
        <f>IF(U305&gt;0.001,U303+U300-U298,0)</f>
        <v>0</v>
      </c>
      <c r="V304">
        <f>V303</f>
        <v>0</v>
      </c>
      <c r="W304" s="8" t="s">
        <v>0</v>
      </c>
      <c r="X304" s="2"/>
      <c r="Z304" s="2"/>
      <c r="AA304" s="2"/>
      <c r="AB304" s="2"/>
    </row>
    <row r="305" spans="20:28" ht="15">
      <c r="T305" s="8" t="s">
        <v>0</v>
      </c>
      <c r="U305">
        <f>U303+VLOOKUP(11,$U$6:$AK$31,15)*4</f>
        <v>0</v>
      </c>
      <c r="V305">
        <f>V302</f>
        <v>0</v>
      </c>
      <c r="W305" s="8" t="s">
        <v>0</v>
      </c>
      <c r="Z305" s="2"/>
      <c r="AA305" s="2"/>
      <c r="AB305" s="2"/>
    </row>
    <row r="306" spans="20:28" ht="15">
      <c r="T306" s="8" t="s">
        <v>0</v>
      </c>
      <c r="U306" s="2"/>
      <c r="W306" s="8" t="s">
        <v>0</v>
      </c>
      <c r="Z306" s="2"/>
      <c r="AA306" s="2"/>
      <c r="AB306" s="2"/>
    </row>
    <row r="307" spans="20:28" ht="15">
      <c r="T307" s="8" t="s">
        <v>0</v>
      </c>
      <c r="U307">
        <f>IF(MAX(U6:U31)&lt;12,0,VLOOKUP(12,$U$6:$AC$31,9))</f>
        <v>0</v>
      </c>
      <c r="V307">
        <f>-VLOOKUP(12,$U$6:$AC$31,2)</f>
        <v>0</v>
      </c>
      <c r="W307" s="8" t="s">
        <v>0</v>
      </c>
      <c r="Z307" s="2"/>
      <c r="AA307" s="2"/>
      <c r="AB307" s="2"/>
    </row>
    <row r="308" spans="20:28" ht="15">
      <c r="T308" s="8" t="s">
        <v>0</v>
      </c>
      <c r="U308">
        <f>U307</f>
        <v>0</v>
      </c>
      <c r="V308">
        <f>IF(V307=0,0,V305)</f>
        <v>0</v>
      </c>
      <c r="W308" s="8" t="s">
        <v>0</v>
      </c>
      <c r="Z308" s="2"/>
      <c r="AA308" s="2"/>
      <c r="AB308" s="2"/>
    </row>
    <row r="309" spans="20:28" ht="15">
      <c r="T309" s="8" t="s">
        <v>0</v>
      </c>
      <c r="U309">
        <f>IF(U310&gt;0.001,U308+U305-U303,0)</f>
        <v>0</v>
      </c>
      <c r="V309">
        <f>V308</f>
        <v>0</v>
      </c>
      <c r="W309" s="8" t="s">
        <v>0</v>
      </c>
      <c r="Y309" s="2"/>
      <c r="Z309" s="2"/>
      <c r="AA309" s="2"/>
      <c r="AB309" s="2"/>
    </row>
    <row r="310" spans="20:28" ht="15">
      <c r="T310" s="8" t="s">
        <v>0</v>
      </c>
      <c r="U310">
        <f>U308+VLOOKUP(12,$U$6:$AK$31,15)*4</f>
        <v>0</v>
      </c>
      <c r="V310">
        <f>V307</f>
        <v>0</v>
      </c>
      <c r="W310" s="8" t="s">
        <v>0</v>
      </c>
      <c r="Z310" s="2"/>
      <c r="AA310" s="2"/>
      <c r="AB310" s="2"/>
    </row>
    <row r="311" spans="20:28" ht="15">
      <c r="T311" s="8" t="s">
        <v>0</v>
      </c>
      <c r="U311" s="2"/>
      <c r="W311" s="8" t="s">
        <v>0</v>
      </c>
      <c r="Z311" s="2"/>
      <c r="AA311" s="2"/>
      <c r="AB311" s="2"/>
    </row>
    <row r="312" spans="20:28" ht="15">
      <c r="T312" s="8" t="s">
        <v>0</v>
      </c>
      <c r="U312">
        <f>IF(MAX(U6:U31)&lt;13,0,VLOOKUP(13,$U$6:$AC$31,9))</f>
        <v>0</v>
      </c>
      <c r="V312">
        <f>-VLOOKUP(13,$U$6:$AC$31,2)</f>
        <v>0</v>
      </c>
      <c r="W312" s="8" t="s">
        <v>0</v>
      </c>
      <c r="Z312" s="2"/>
      <c r="AA312" s="2"/>
      <c r="AB312" s="2"/>
    </row>
    <row r="313" spans="20:28" ht="15">
      <c r="T313" s="8" t="s">
        <v>0</v>
      </c>
      <c r="U313">
        <f>U312</f>
        <v>0</v>
      </c>
      <c r="V313">
        <f>IF(V312=0,0,V310)</f>
        <v>0</v>
      </c>
      <c r="W313" s="8" t="s">
        <v>0</v>
      </c>
      <c r="Z313" s="2"/>
      <c r="AA313" s="2"/>
      <c r="AB313" s="2"/>
    </row>
    <row r="314" spans="20:28" ht="15">
      <c r="T314" s="8" t="s">
        <v>0</v>
      </c>
      <c r="U314">
        <f>IF(U315&gt;0.001,U313+U310-U308,0)</f>
        <v>0</v>
      </c>
      <c r="V314">
        <f>V313</f>
        <v>0</v>
      </c>
      <c r="W314" s="8" t="s">
        <v>0</v>
      </c>
      <c r="X314" s="2"/>
      <c r="Z314" s="2"/>
      <c r="AA314" s="2"/>
      <c r="AB314" s="2"/>
    </row>
    <row r="315" spans="20:28" ht="15">
      <c r="T315" s="8" t="s">
        <v>0</v>
      </c>
      <c r="U315">
        <f>U313+VLOOKUP(13,$U$6:$AK$31,15)*4</f>
        <v>0</v>
      </c>
      <c r="V315">
        <f>V312</f>
        <v>0</v>
      </c>
      <c r="W315" s="8" t="s">
        <v>0</v>
      </c>
      <c r="Z315" s="2"/>
      <c r="AA315" s="2"/>
      <c r="AB315" s="2"/>
    </row>
    <row r="316" spans="20:28" ht="15">
      <c r="T316" s="8" t="s">
        <v>0</v>
      </c>
      <c r="U316" s="2"/>
      <c r="W316" s="8" t="s">
        <v>0</v>
      </c>
      <c r="Z316" s="2"/>
      <c r="AA316" s="2"/>
      <c r="AB316" s="2"/>
    </row>
    <row r="317" spans="20:28" ht="15">
      <c r="T317" s="8" t="s">
        <v>0</v>
      </c>
      <c r="U317">
        <f>IF(MAX(U6:U31)&lt;14,0,VLOOKUP(14,$U$6:$AC$31,9))</f>
        <v>0</v>
      </c>
      <c r="V317">
        <f>-VLOOKUP(14,$U$6:$AC$31,2)</f>
        <v>0</v>
      </c>
      <c r="W317" s="8" t="s">
        <v>0</v>
      </c>
      <c r="Z317" s="2"/>
      <c r="AA317" s="2"/>
      <c r="AB317" s="2"/>
    </row>
    <row r="318" spans="20:28" ht="15">
      <c r="T318" s="8" t="s">
        <v>0</v>
      </c>
      <c r="U318">
        <f>U317</f>
        <v>0</v>
      </c>
      <c r="V318">
        <f>IF(V317=0,0,V315)</f>
        <v>0</v>
      </c>
      <c r="W318" s="8" t="s">
        <v>0</v>
      </c>
      <c r="Z318" s="2"/>
      <c r="AA318" s="2"/>
      <c r="AB318" s="2"/>
    </row>
    <row r="319" spans="20:28" ht="15">
      <c r="T319" s="8" t="s">
        <v>0</v>
      </c>
      <c r="U319">
        <f>IF(U320&gt;0.001,U318+U315-U313,0)</f>
        <v>0</v>
      </c>
      <c r="V319">
        <f>V318</f>
        <v>0</v>
      </c>
      <c r="W319" s="8" t="s">
        <v>0</v>
      </c>
      <c r="X319" s="2"/>
      <c r="Z319" s="2"/>
      <c r="AA319" s="2"/>
      <c r="AB319" s="2"/>
    </row>
    <row r="320" spans="20:28" ht="15">
      <c r="T320" s="8" t="s">
        <v>0</v>
      </c>
      <c r="U320">
        <f>U318+VLOOKUP(14,$U$6:$AK$31,15)*4</f>
        <v>0</v>
      </c>
      <c r="V320">
        <f>V317</f>
        <v>0</v>
      </c>
      <c r="W320" s="8" t="s">
        <v>0</v>
      </c>
      <c r="Z320" s="2"/>
      <c r="AA320" s="2"/>
      <c r="AB320" s="2"/>
    </row>
    <row r="321" spans="20:28" ht="15">
      <c r="T321" s="8" t="s">
        <v>0</v>
      </c>
      <c r="U321" s="2"/>
      <c r="W321" s="8" t="s">
        <v>0</v>
      </c>
      <c r="Z321" s="2"/>
      <c r="AA321" s="2"/>
      <c r="AB321" s="2"/>
    </row>
    <row r="322" spans="20:28" ht="15">
      <c r="T322" s="8" t="s">
        <v>0</v>
      </c>
      <c r="U322">
        <f>IF(MAX(U6:U31)&lt;15,0,VLOOKUP(15,$U$6:$AC$31,9))</f>
        <v>0</v>
      </c>
      <c r="V322">
        <f>-VLOOKUP(15,$U$6:$AC$31,2)</f>
        <v>0</v>
      </c>
      <c r="W322" s="8" t="s">
        <v>0</v>
      </c>
      <c r="Z322" s="2"/>
      <c r="AA322" s="2"/>
      <c r="AB322" s="2"/>
    </row>
    <row r="323" spans="20:28" ht="15">
      <c r="T323" s="8" t="s">
        <v>0</v>
      </c>
      <c r="U323">
        <f>U322</f>
        <v>0</v>
      </c>
      <c r="V323">
        <f>IF(V322=0,0,V320)</f>
        <v>0</v>
      </c>
      <c r="W323" s="8" t="s">
        <v>0</v>
      </c>
      <c r="Z323" s="2"/>
      <c r="AA323" s="2"/>
      <c r="AB323" s="2"/>
    </row>
    <row r="324" spans="20:28" ht="15">
      <c r="T324" s="8" t="s">
        <v>0</v>
      </c>
      <c r="U324">
        <f>IF(U325&gt;0.001,U323+U320-U318,0)</f>
        <v>0</v>
      </c>
      <c r="V324">
        <f>V323</f>
        <v>0</v>
      </c>
      <c r="W324" s="8" t="s">
        <v>0</v>
      </c>
      <c r="Z324" s="2"/>
      <c r="AA324" s="2"/>
      <c r="AB324" s="2"/>
    </row>
    <row r="325" spans="20:28" ht="15">
      <c r="T325" s="8" t="s">
        <v>0</v>
      </c>
      <c r="U325">
        <f>U323+VLOOKUP(15,$U$6:$AK$31,15)*4</f>
        <v>0</v>
      </c>
      <c r="V325">
        <f>V322</f>
        <v>0</v>
      </c>
      <c r="W325" s="8" t="s">
        <v>0</v>
      </c>
      <c r="Z325" s="2"/>
      <c r="AA325" s="2"/>
      <c r="AB325" s="2"/>
    </row>
    <row r="326" spans="20:28" ht="15">
      <c r="T326" s="8" t="s">
        <v>0</v>
      </c>
      <c r="V326" s="2"/>
      <c r="W326" s="8" t="s">
        <v>0</v>
      </c>
      <c r="Z326" s="2"/>
      <c r="AA326" s="2"/>
      <c r="AB326" s="2"/>
    </row>
    <row r="327" spans="20:28" ht="15">
      <c r="T327" s="8" t="s">
        <v>0</v>
      </c>
      <c r="U327">
        <f>IF(MAX(U6:U31)&lt;16,0,VLOOKUP(16,$U$6:$AC$31,9))</f>
        <v>0</v>
      </c>
      <c r="V327">
        <f>-VLOOKUP(16,$U$6:$AC$31,2)</f>
        <v>0</v>
      </c>
      <c r="W327" s="8" t="s">
        <v>0</v>
      </c>
      <c r="Z327" s="2"/>
      <c r="AA327" s="2"/>
      <c r="AB327" s="2"/>
    </row>
    <row r="328" spans="20:28" ht="15">
      <c r="T328" s="8" t="s">
        <v>0</v>
      </c>
      <c r="U328">
        <f>U327</f>
        <v>0</v>
      </c>
      <c r="V328">
        <f>IF(V327=0,0,V325)</f>
        <v>0</v>
      </c>
      <c r="W328" s="8" t="s">
        <v>0</v>
      </c>
      <c r="Z328" s="2"/>
      <c r="AA328" s="2"/>
      <c r="AB328" s="2"/>
    </row>
    <row r="329" spans="20:28" ht="15">
      <c r="T329" s="8" t="s">
        <v>0</v>
      </c>
      <c r="U329">
        <f>IF(U330&gt;0.001,U328+U325-U323,0)</f>
        <v>0</v>
      </c>
      <c r="V329">
        <f>V328</f>
        <v>0</v>
      </c>
      <c r="W329" s="8" t="s">
        <v>0</v>
      </c>
      <c r="Z329" s="2"/>
      <c r="AA329" s="2"/>
      <c r="AB329" s="2"/>
    </row>
    <row r="330" spans="20:28" ht="15">
      <c r="T330" s="8" t="s">
        <v>0</v>
      </c>
      <c r="U330">
        <f>U328+VLOOKUP(16,$U$6:$AK$31,15)*4</f>
        <v>0</v>
      </c>
      <c r="V330">
        <f>V327</f>
        <v>0</v>
      </c>
      <c r="W330" s="8" t="s">
        <v>0</v>
      </c>
      <c r="Z330" s="2"/>
      <c r="AA330" s="2"/>
      <c r="AB330" s="2"/>
    </row>
    <row r="331" spans="20:28" ht="15">
      <c r="T331" s="8" t="s">
        <v>0</v>
      </c>
      <c r="U331" s="2"/>
      <c r="W331" s="8" t="s">
        <v>0</v>
      </c>
      <c r="Z331" s="2"/>
      <c r="AA331" s="2"/>
      <c r="AB331" s="2"/>
    </row>
    <row r="332" spans="20:28" ht="15">
      <c r="T332" s="8" t="s">
        <v>0</v>
      </c>
      <c r="U332">
        <f>IF(MAX(U6:U31)&lt;17,0,VLOOKUP(17,$U$6:$AC$31,9))</f>
        <v>0</v>
      </c>
      <c r="V332">
        <f>-VLOOKUP(17,$U$6:$AC$31,2)</f>
        <v>0</v>
      </c>
      <c r="W332" s="8" t="s">
        <v>0</v>
      </c>
      <c r="Z332" s="2"/>
      <c r="AA332" s="2"/>
      <c r="AB332" s="2"/>
    </row>
    <row r="333" spans="20:28" ht="15">
      <c r="T333" s="8" t="s">
        <v>0</v>
      </c>
      <c r="U333">
        <f>U332</f>
        <v>0</v>
      </c>
      <c r="V333">
        <f>IF(V332=0,0,V330)</f>
        <v>0</v>
      </c>
      <c r="W333" s="8" t="s">
        <v>0</v>
      </c>
      <c r="Z333" s="2"/>
      <c r="AA333" s="2"/>
      <c r="AB333" s="2"/>
    </row>
    <row r="334" spans="20:28" ht="15">
      <c r="T334" s="8" t="s">
        <v>0</v>
      </c>
      <c r="U334">
        <f>IF(U335&gt;0.001,U333+U330-U328,0)</f>
        <v>0</v>
      </c>
      <c r="V334">
        <f>V333</f>
        <v>0</v>
      </c>
      <c r="W334" s="8" t="s">
        <v>0</v>
      </c>
      <c r="Z334" s="2"/>
      <c r="AA334" s="2"/>
      <c r="AB334" s="2"/>
    </row>
    <row r="335" spans="20:28" ht="15">
      <c r="T335" s="8" t="s">
        <v>0</v>
      </c>
      <c r="U335">
        <f>U333+VLOOKUP(17,$U$6:$AK$31,15)*4</f>
        <v>0</v>
      </c>
      <c r="V335">
        <f>V332</f>
        <v>0</v>
      </c>
      <c r="W335" s="8" t="s">
        <v>0</v>
      </c>
      <c r="Z335" s="2"/>
      <c r="AA335" s="2"/>
      <c r="AB335" s="2"/>
    </row>
    <row r="336" spans="20:28" ht="15">
      <c r="T336" s="8" t="s">
        <v>0</v>
      </c>
      <c r="U336" s="2"/>
      <c r="W336" s="8" t="s">
        <v>0</v>
      </c>
      <c r="Z336" s="2"/>
      <c r="AA336" s="2"/>
      <c r="AB336" s="2"/>
    </row>
    <row r="337" spans="20:28" ht="15">
      <c r="T337" s="8" t="s">
        <v>0</v>
      </c>
      <c r="U337">
        <f>IF(MAX(U6:U31)&lt;18,0,VLOOKUP(18,$U$6:$AC$31,9))</f>
        <v>0</v>
      </c>
      <c r="V337">
        <f>-VLOOKUP(18,$U$6:$AC$31,2)</f>
        <v>0</v>
      </c>
      <c r="W337" s="8" t="s">
        <v>0</v>
      </c>
      <c r="Z337" s="2"/>
      <c r="AA337" s="2"/>
      <c r="AB337" s="2"/>
    </row>
    <row r="338" spans="5:28" ht="15">
      <c r="E338" s="2"/>
      <c r="T338" s="8" t="s">
        <v>0</v>
      </c>
      <c r="U338">
        <f>U337</f>
        <v>0</v>
      </c>
      <c r="V338">
        <f>IF(V337=0,0,V335)</f>
        <v>0</v>
      </c>
      <c r="W338" s="8" t="s">
        <v>0</v>
      </c>
      <c r="Z338" s="2"/>
      <c r="AA338" s="2"/>
      <c r="AB338" s="2"/>
    </row>
    <row r="339" spans="5:28" ht="15">
      <c r="E339" s="2"/>
      <c r="T339" s="8" t="s">
        <v>0</v>
      </c>
      <c r="U339">
        <f>IF(U340&gt;0.001,U338+U335-U333,0)</f>
        <v>0</v>
      </c>
      <c r="V339">
        <f>V338</f>
        <v>0</v>
      </c>
      <c r="W339" s="8" t="s">
        <v>0</v>
      </c>
      <c r="Z339" s="2"/>
      <c r="AA339" s="2"/>
      <c r="AB339" s="2"/>
    </row>
    <row r="340" spans="5:28" ht="15">
      <c r="E340" s="2"/>
      <c r="T340" s="8" t="s">
        <v>0</v>
      </c>
      <c r="U340">
        <f>U338+VLOOKUP(18,$U$6:$AK$31,15)*4</f>
        <v>0</v>
      </c>
      <c r="V340">
        <f>V337</f>
        <v>0</v>
      </c>
      <c r="W340" s="8" t="s">
        <v>0</v>
      </c>
      <c r="Z340" s="2"/>
      <c r="AA340" s="2"/>
      <c r="AB340" s="2"/>
    </row>
    <row r="341" spans="5:28" ht="15">
      <c r="E341" s="2"/>
      <c r="T341" s="8" t="s">
        <v>0</v>
      </c>
      <c r="W341" s="8" t="s">
        <v>0</v>
      </c>
      <c r="Z341" s="2"/>
      <c r="AA341" s="2"/>
      <c r="AB341" s="2"/>
    </row>
    <row r="342" spans="5:28" ht="15">
      <c r="E342" s="2"/>
      <c r="T342" s="8" t="s">
        <v>0</v>
      </c>
      <c r="U342">
        <f>IF(MAX($U$6:$U$31)&lt;19,0,VLOOKUP(19,$U$6:$AC$31,9))</f>
        <v>0</v>
      </c>
      <c r="V342">
        <f>-VLOOKUP(19,$U$6:$AC$31,2)</f>
        <v>0</v>
      </c>
      <c r="W342" s="8" t="s">
        <v>0</v>
      </c>
      <c r="Z342" s="2"/>
      <c r="AA342" s="2"/>
      <c r="AB342" s="2"/>
    </row>
    <row r="343" spans="5:28" ht="15">
      <c r="E343" s="2"/>
      <c r="T343" s="8" t="s">
        <v>0</v>
      </c>
      <c r="U343">
        <f>U342</f>
        <v>0</v>
      </c>
      <c r="V343">
        <f>IF(V342=0,0,V340)</f>
        <v>0</v>
      </c>
      <c r="W343" s="8" t="s">
        <v>0</v>
      </c>
      <c r="Z343" s="2"/>
      <c r="AA343" s="2"/>
      <c r="AB343" s="2"/>
    </row>
    <row r="344" spans="5:28" ht="15">
      <c r="E344" s="2"/>
      <c r="T344" s="8" t="s">
        <v>0</v>
      </c>
      <c r="U344">
        <f>IF(U345&gt;0.001,U343+U340-U338,0)</f>
        <v>0</v>
      </c>
      <c r="V344">
        <f>V343</f>
        <v>0</v>
      </c>
      <c r="W344" s="8" t="s">
        <v>0</v>
      </c>
      <c r="Z344" s="2"/>
      <c r="AA344" s="2"/>
      <c r="AB344" s="2"/>
    </row>
    <row r="345" spans="5:28" ht="15">
      <c r="E345" s="2"/>
      <c r="T345" s="8" t="s">
        <v>0</v>
      </c>
      <c r="U345">
        <f>U343+VLOOKUP(19,$U$6:$AK$31,15)*4</f>
        <v>0</v>
      </c>
      <c r="V345">
        <f>V342</f>
        <v>0</v>
      </c>
      <c r="W345" s="8" t="s">
        <v>0</v>
      </c>
      <c r="Z345" s="2"/>
      <c r="AA345" s="2"/>
      <c r="AB345" s="2"/>
    </row>
    <row r="346" spans="5:28" ht="15">
      <c r="E346" s="2"/>
      <c r="T346" s="8" t="s">
        <v>0</v>
      </c>
      <c r="W346" s="8" t="s">
        <v>0</v>
      </c>
      <c r="Z346" s="2"/>
      <c r="AA346" s="2"/>
      <c r="AB346" s="2"/>
    </row>
    <row r="347" spans="5:28" ht="15">
      <c r="E347" s="2"/>
      <c r="T347" s="8" t="s">
        <v>0</v>
      </c>
      <c r="U347">
        <f>IF(MAX($U$6:$U$31)&lt;20,0,VLOOKUP(20,$U$6:$AC$31,9))</f>
        <v>0</v>
      </c>
      <c r="V347">
        <f>-VLOOKUP(20,$U$6:$AC$31,2)</f>
        <v>0</v>
      </c>
      <c r="W347" s="8" t="s">
        <v>0</v>
      </c>
      <c r="Z347" s="2"/>
      <c r="AA347" s="2"/>
      <c r="AB347" s="2"/>
    </row>
    <row r="348" spans="5:28" ht="15">
      <c r="E348" s="2"/>
      <c r="T348" s="8" t="s">
        <v>0</v>
      </c>
      <c r="U348">
        <f>U347</f>
        <v>0</v>
      </c>
      <c r="V348">
        <f>IF(V347=0,0,V345)</f>
        <v>0</v>
      </c>
      <c r="W348" s="8" t="s">
        <v>0</v>
      </c>
      <c r="Z348" s="2"/>
      <c r="AA348" s="2"/>
      <c r="AB348" s="2"/>
    </row>
    <row r="349" spans="5:28" ht="15">
      <c r="E349" s="2"/>
      <c r="T349" s="8" t="s">
        <v>0</v>
      </c>
      <c r="U349">
        <f>IF(U350&gt;0.001,U348+U345-U343,0)</f>
        <v>0</v>
      </c>
      <c r="V349">
        <f>V348</f>
        <v>0</v>
      </c>
      <c r="W349" s="8" t="s">
        <v>0</v>
      </c>
      <c r="Z349" s="2"/>
      <c r="AA349" s="2"/>
      <c r="AB349" s="2"/>
    </row>
    <row r="350" spans="5:28" ht="15">
      <c r="E350" s="2"/>
      <c r="T350" s="8" t="s">
        <v>0</v>
      </c>
      <c r="U350">
        <f>U348+VLOOKUP(20,$U$6:$AK$31,15)*4</f>
        <v>0</v>
      </c>
      <c r="V350">
        <f>V347</f>
        <v>0</v>
      </c>
      <c r="W350" s="8" t="s">
        <v>0</v>
      </c>
      <c r="Z350" s="2"/>
      <c r="AA350" s="2"/>
      <c r="AB350" s="2"/>
    </row>
    <row r="351" spans="5:23" ht="15">
      <c r="E351" s="2"/>
      <c r="T351" s="8" t="s">
        <v>0</v>
      </c>
      <c r="W351" s="8" t="s">
        <v>0</v>
      </c>
    </row>
    <row r="352" spans="5:23" ht="15">
      <c r="E352" s="2"/>
      <c r="T352" s="8" t="s">
        <v>0</v>
      </c>
      <c r="U352">
        <f>IF(MAX($U$6:$U$31)&lt;21,0,VLOOKUP(21,$U$6:$AC$31,9))</f>
        <v>0</v>
      </c>
      <c r="V352">
        <f>-VLOOKUP(21,$U$6:$AC$31,2)</f>
        <v>0</v>
      </c>
      <c r="W352" s="8" t="s">
        <v>0</v>
      </c>
    </row>
    <row r="353" spans="5:23" ht="15">
      <c r="E353" s="2"/>
      <c r="T353" s="8" t="s">
        <v>0</v>
      </c>
      <c r="U353">
        <f>U352</f>
        <v>0</v>
      </c>
      <c r="V353">
        <f>IF(V352=0,0,V350)</f>
        <v>0</v>
      </c>
      <c r="W353" s="8" t="s">
        <v>0</v>
      </c>
    </row>
    <row r="354" spans="5:23" ht="15">
      <c r="E354" s="2"/>
      <c r="T354" s="8" t="s">
        <v>0</v>
      </c>
      <c r="U354">
        <f>IF(U355&gt;0.001,U353+U350-U348,0)</f>
        <v>0</v>
      </c>
      <c r="V354">
        <f>V353</f>
        <v>0</v>
      </c>
      <c r="W354" s="8" t="s">
        <v>0</v>
      </c>
    </row>
    <row r="355" spans="5:23" ht="15">
      <c r="E355" s="2"/>
      <c r="T355" s="8" t="s">
        <v>0</v>
      </c>
      <c r="U355">
        <f>U353+VLOOKUP(21,$U$6:$AK$31,15)*4</f>
        <v>0</v>
      </c>
      <c r="V355">
        <f>V352</f>
        <v>0</v>
      </c>
      <c r="W355" s="8" t="s">
        <v>0</v>
      </c>
    </row>
    <row r="356" spans="5:23" ht="15">
      <c r="E356" s="2"/>
      <c r="T356" s="8" t="s">
        <v>0</v>
      </c>
      <c r="W356" s="8" t="s">
        <v>0</v>
      </c>
    </row>
    <row r="357" spans="5:23" ht="15">
      <c r="E357" s="2"/>
      <c r="T357" s="8" t="s">
        <v>0</v>
      </c>
      <c r="W357" s="8" t="s">
        <v>0</v>
      </c>
    </row>
    <row r="358" spans="5:23" ht="15">
      <c r="E358" s="2"/>
      <c r="T358" s="8" t="s">
        <v>0</v>
      </c>
      <c r="W358" s="8" t="s">
        <v>0</v>
      </c>
    </row>
    <row r="359" spans="5:23" ht="15">
      <c r="E359" s="2"/>
      <c r="T359" s="8" t="s">
        <v>0</v>
      </c>
      <c r="W359" s="8" t="s">
        <v>0</v>
      </c>
    </row>
    <row r="360" spans="5:23" ht="15">
      <c r="E360" s="2"/>
      <c r="T360" s="8" t="s">
        <v>0</v>
      </c>
      <c r="W360" s="8" t="s">
        <v>0</v>
      </c>
    </row>
    <row r="361" spans="5:23" ht="15">
      <c r="E361" s="2"/>
      <c r="T361" s="8" t="s">
        <v>0</v>
      </c>
      <c r="W361" s="8" t="s">
        <v>0</v>
      </c>
    </row>
    <row r="362" spans="5:23" ht="15">
      <c r="E362" s="2"/>
      <c r="T362" s="8" t="s">
        <v>0</v>
      </c>
      <c r="W362" s="8" t="s">
        <v>0</v>
      </c>
    </row>
    <row r="363" spans="5:23" ht="15">
      <c r="E363" s="2"/>
      <c r="T363" s="8" t="s">
        <v>0</v>
      </c>
      <c r="W363" s="8" t="s">
        <v>0</v>
      </c>
    </row>
    <row r="364" spans="5:23" ht="15">
      <c r="E364" s="2"/>
      <c r="T364" s="8" t="s">
        <v>0</v>
      </c>
      <c r="W364" s="8" t="s">
        <v>0</v>
      </c>
    </row>
    <row r="365" spans="5:20" ht="15">
      <c r="E365" s="2"/>
      <c r="T365" s="8" t="s">
        <v>0</v>
      </c>
    </row>
    <row r="366" ht="15">
      <c r="E366" s="2"/>
    </row>
  </sheetData>
  <sheetProtection sheet="1"/>
  <conditionalFormatting sqref="R99:R115 H23:H84 P23:P103">
    <cfRule type="cellIs" priority="1" dxfId="1" operator="lessThan" stopIfTrue="1">
      <formula>1.5</formula>
    </cfRule>
  </conditionalFormatting>
  <printOptions/>
  <pageMargins left="0.25" right="0.25" top="0.25" bottom="0.25" header="0.5" footer="0.5"/>
  <pageSetup fitToHeight="1" fitToWidth="1" horizontalDpi="600" verticalDpi="600" orientation="portrait" scale="67" r:id="rId2"/>
  <headerFooter>
    <oddFooter xml:space="preserve">&amp;LPrinted &amp;D&amp;CPage &amp;P of &amp;N&amp;RBBS 144 (11/01/16)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JOHNSONMS</dc:creator>
  <cp:keywords/>
  <dc:description/>
  <cp:lastModifiedBy>luigsj</cp:lastModifiedBy>
  <cp:lastPrinted>2016-10-25T14:43:01Z</cp:lastPrinted>
  <dcterms:created xsi:type="dcterms:W3CDTF">2002-11-12T21:05:58Z</dcterms:created>
  <dcterms:modified xsi:type="dcterms:W3CDTF">2016-11-01T14:21:39Z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Headers">
    <vt:lpwstr/>
  </property>
  <property fmtid="{D5CDD505-2E9C-101B-9397-08002B2CF9AE}" pid="4" name="Document Title">
    <vt:lpwstr/>
  </property>
  <property fmtid="{D5CDD505-2E9C-101B-9397-08002B2CF9AE}" pid="5" name="EmailSender">
    <vt:lpwstr/>
  </property>
  <property fmtid="{D5CDD505-2E9C-101B-9397-08002B2CF9AE}" pid="6" name="EmailFrom">
    <vt:lpwstr/>
  </property>
  <property fmtid="{D5CDD505-2E9C-101B-9397-08002B2CF9AE}" pid="7" name="EmailSubject">
    <vt:lpwstr/>
  </property>
  <property fmtid="{D5CDD505-2E9C-101B-9397-08002B2CF9AE}" pid="8" name="EmailCc">
    <vt:lpwstr/>
  </property>
</Properties>
</file>